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drawings/drawing2.xml" ContentType="application/vnd.openxmlformats-officedocument.drawing+xml"/>
  <Override PartName="/xl/tables/table1.xml" ContentType="application/vnd.openxmlformats-officedocument.spreadsheetml.table+xml"/>
  <Override PartName="/xl/drawings/drawing3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tables/table2.xml" ContentType="application/vnd.openxmlformats-officedocument.spreadsheetml.table+xml"/>
  <Override PartName="/xl/drawings/drawing4.xml" ContentType="application/vnd.openxmlformats-officedocument.drawing+xml"/>
  <Override PartName="/xl/activeX/activeX2.xml" ContentType="application/vnd.ms-office.activeX+xml"/>
  <Override PartName="/xl/activeX/activeX2.bin" ContentType="application/vnd.ms-office.activeX"/>
  <Override PartName="/xl/tables/table3.xml" ContentType="application/vnd.openxmlformats-officedocument.spreadsheetml.table+xml"/>
  <Override PartName="/xl/drawings/drawing5.xml" ContentType="application/vnd.openxmlformats-officedocument.drawing+xml"/>
  <Override PartName="/xl/activeX/activeX3.xml" ContentType="application/vnd.ms-office.activeX+xml"/>
  <Override PartName="/xl/activeX/activeX3.bin" ContentType="application/vnd.ms-office.activeX"/>
  <Override PartName="/xl/tables/table4.xml" ContentType="application/vnd.openxmlformats-officedocument.spreadsheetml.table+xml"/>
  <Override PartName="/xl/drawings/drawing6.xml" ContentType="application/vnd.openxmlformats-officedocument.drawing+xml"/>
  <Override PartName="/xl/activeX/activeX4.xml" ContentType="application/vnd.ms-office.activeX+xml"/>
  <Override PartName="/xl/activeX/activeX4.bin" ContentType="application/vnd.ms-office.activeX"/>
  <Override PartName="/xl/tables/table5.xml" ContentType="application/vnd.openxmlformats-officedocument.spreadsheetml.table+xml"/>
  <Override PartName="/xl/drawings/drawing7.xml" ContentType="application/vnd.openxmlformats-officedocument.drawing+xml"/>
  <Override PartName="/xl/activeX/activeX5.xml" ContentType="application/vnd.ms-office.activeX+xml"/>
  <Override PartName="/xl/activeX/activeX5.bin" ContentType="application/vnd.ms-office.activeX"/>
  <Override PartName="/xl/tables/table6.xml" ContentType="application/vnd.openxmlformats-officedocument.spreadsheetml.table+xml"/>
  <Override PartName="/xl/drawings/drawing8.xml" ContentType="application/vnd.openxmlformats-officedocument.drawing+xml"/>
  <Override PartName="/xl/activeX/activeX6.xml" ContentType="application/vnd.ms-office.activeX+xml"/>
  <Override PartName="/xl/activeX/activeX6.bin" ContentType="application/vnd.ms-office.activeX"/>
  <Override PartName="/xl/tables/table7.xml" ContentType="application/vnd.openxmlformats-officedocument.spreadsheetml.table+xml"/>
  <Override PartName="/xl/drawings/drawing9.xml" ContentType="application/vnd.openxmlformats-officedocument.drawing+xml"/>
  <Override PartName="/xl/activeX/activeX7.xml" ContentType="application/vnd.ms-office.activeX+xml"/>
  <Override PartName="/xl/activeX/activeX7.bin" ContentType="application/vnd.ms-office.activeX"/>
  <Override PartName="/xl/tables/table8.xml" ContentType="application/vnd.openxmlformats-officedocument.spreadsheetml.table+xml"/>
  <Override PartName="/xl/drawings/drawing10.xml" ContentType="application/vnd.openxmlformats-officedocument.drawing+xml"/>
  <Override PartName="/xl/activeX/activeX8.xml" ContentType="application/vnd.ms-office.activeX+xml"/>
  <Override PartName="/xl/activeX/activeX8.bin" ContentType="application/vnd.ms-office.activeX"/>
  <Override PartName="/xl/tables/table9.xml" ContentType="application/vnd.openxmlformats-officedocument.spreadsheetml.table+xml"/>
  <Override PartName="/xl/drawings/drawing11.xml" ContentType="application/vnd.openxmlformats-officedocument.drawing+xml"/>
  <Override PartName="/xl/activeX/activeX9.xml" ContentType="application/vnd.ms-office.activeX+xml"/>
  <Override PartName="/xl/activeX/activeX9.bin" ContentType="application/vnd.ms-office.activeX"/>
  <Override PartName="/xl/tables/table10.xml" ContentType="application/vnd.openxmlformats-officedocument.spreadsheetml.table+xml"/>
  <Override PartName="/xl/drawings/drawing12.xml" ContentType="application/vnd.openxmlformats-officedocument.drawing+xml"/>
  <Override PartName="/xl/activeX/activeX10.xml" ContentType="application/vnd.ms-office.activeX+xml"/>
  <Override PartName="/xl/activeX/activeX10.bin" ContentType="application/vnd.ms-office.activeX"/>
  <Override PartName="/xl/tables/table11.xml" ContentType="application/vnd.openxmlformats-officedocument.spreadsheetml.table+xml"/>
  <Override PartName="/xl/drawings/drawing13.xml" ContentType="application/vnd.openxmlformats-officedocument.drawing+xml"/>
  <Override PartName="/xl/activeX/activeX11.xml" ContentType="application/vnd.ms-office.activeX+xml"/>
  <Override PartName="/xl/activeX/activeX11.bin" ContentType="application/vnd.ms-office.activeX"/>
  <Override PartName="/xl/tables/table12.xml" ContentType="application/vnd.openxmlformats-officedocument.spreadsheetml.table+xml"/>
  <Override PartName="/xl/drawings/drawing14.xml" ContentType="application/vnd.openxmlformats-officedocument.drawing+xml"/>
  <Override PartName="/xl/activeX/activeX12.xml" ContentType="application/vnd.ms-office.activeX+xml"/>
  <Override PartName="/xl/activeX/activeX12.bin" ContentType="application/vnd.ms-office.activeX"/>
  <Override PartName="/xl/tables/table13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9200" windowHeight="8320" tabRatio="904" activeTab="3"/>
  </bookViews>
  <sheets>
    <sheet name="TOTAUX ANNUEL " sheetId="26" r:id="rId1"/>
    <sheet name="parametres " sheetId="3" r:id="rId2"/>
    <sheet name="JF " sheetId="2" state="hidden" r:id="rId3"/>
    <sheet name="Janvier 18" sheetId="13" r:id="rId4"/>
    <sheet name="Février 18" sheetId="14" r:id="rId5"/>
    <sheet name="Mars 18" sheetId="15" r:id="rId6"/>
    <sheet name="Avril 18" sheetId="16" r:id="rId7"/>
    <sheet name="Mai 18" sheetId="17" r:id="rId8"/>
    <sheet name="Juin 18" sheetId="19" r:id="rId9"/>
    <sheet name="Juillet 18" sheetId="20" r:id="rId10"/>
    <sheet name="Août 18" sheetId="25" r:id="rId11"/>
    <sheet name="Septembre 18" sheetId="24" r:id="rId12"/>
    <sheet name="Octobre 18" sheetId="23" r:id="rId13"/>
    <sheet name="Novembre 18" sheetId="22" r:id="rId14"/>
    <sheet name="Décembre 18" sheetId="21" r:id="rId15"/>
  </sheets>
  <definedNames>
    <definedName name="deb_dimJF">'parametres '!$B$3</definedName>
    <definedName name="deb_nuit">'parametres '!$B$1</definedName>
    <definedName name="fin_dimJF">'parametres '!$B$4</definedName>
    <definedName name="fin_nuit">'parametres '!$B$2</definedName>
    <definedName name="JF">'JF '!$D$1:$D$12</definedName>
    <definedName name="Maladie">'JF '!$A$20</definedName>
    <definedName name="Services">Tableau1[[#Headers],[Services]]</definedName>
    <definedName name="Vacances">'JF '!$A$19</definedName>
    <definedName name="_xlnm.Print_Area" localSheetId="10">'Août 18'!$A$1:$J$54</definedName>
    <definedName name="_xlnm.Print_Area" localSheetId="6">'Avril 18'!$A$1:$J$54</definedName>
    <definedName name="_xlnm.Print_Area" localSheetId="14">'Décembre 18'!$A$1:$J$54</definedName>
    <definedName name="_xlnm.Print_Area" localSheetId="4">'Février 18'!$A$1:$J$54</definedName>
    <definedName name="_xlnm.Print_Area" localSheetId="3">'Janvier 18'!$A$1:$J$54</definedName>
    <definedName name="_xlnm.Print_Area" localSheetId="9">'Juillet 18'!$A$1:$J$54</definedName>
    <definedName name="_xlnm.Print_Area" localSheetId="8">'Juin 18'!$A$1:$J$54</definedName>
    <definedName name="_xlnm.Print_Area" localSheetId="7">'Mai 18'!$A$1:$J$54</definedName>
    <definedName name="_xlnm.Print_Area" localSheetId="5">'Mars 18'!$A$1:$J$54</definedName>
    <definedName name="_xlnm.Print_Area" localSheetId="13">'Novembre 18'!$A$1:$J$54</definedName>
    <definedName name="_xlnm.Print_Area" localSheetId="12">'Octobre 18'!$A$1:$J$54</definedName>
    <definedName name="_xlnm.Print_Area" localSheetId="11">'Septembre 18'!$A$1:$J$54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5" i="15" l="1"/>
  <c r="D5" i="15"/>
  <c r="B5" i="21"/>
  <c r="B7" i="21"/>
  <c r="E7" i="21"/>
  <c r="D5" i="21"/>
  <c r="B5" i="22"/>
  <c r="B7" i="22"/>
  <c r="E7" i="22"/>
  <c r="D5" i="22"/>
  <c r="B5" i="23"/>
  <c r="B7" i="23"/>
  <c r="E7" i="23"/>
  <c r="D5" i="23"/>
  <c r="B5" i="24"/>
  <c r="B7" i="24"/>
  <c r="E7" i="24"/>
  <c r="D5" i="24"/>
  <c r="B5" i="25"/>
  <c r="B7" i="25"/>
  <c r="E7" i="25"/>
  <c r="D5" i="25"/>
  <c r="B5" i="20"/>
  <c r="B7" i="20"/>
  <c r="E7" i="20"/>
  <c r="D5" i="20"/>
  <c r="B5" i="19"/>
  <c r="B7" i="19"/>
  <c r="E7" i="19"/>
  <c r="D5" i="19"/>
  <c r="E7" i="17"/>
  <c r="B7" i="17"/>
  <c r="B5" i="17"/>
  <c r="D5" i="17"/>
  <c r="E7" i="16"/>
  <c r="D5" i="16"/>
  <c r="B7" i="16"/>
  <c r="B5" i="16"/>
  <c r="E7" i="15"/>
  <c r="B7" i="15"/>
  <c r="E7" i="14"/>
  <c r="B7" i="14"/>
  <c r="D5" i="14"/>
  <c r="B5" i="14"/>
  <c r="J13" i="13" l="1"/>
  <c r="J14" i="13"/>
  <c r="J15" i="13"/>
  <c r="J16" i="13"/>
  <c r="J17" i="13"/>
  <c r="J18" i="13"/>
  <c r="J19" i="13"/>
  <c r="J20" i="13"/>
  <c r="J21" i="13"/>
  <c r="J22" i="13"/>
  <c r="J23" i="13"/>
  <c r="J24" i="13"/>
  <c r="J25" i="13"/>
  <c r="J26" i="13"/>
  <c r="J27" i="13"/>
  <c r="J28" i="13"/>
  <c r="I5" i="13"/>
  <c r="I5" i="14"/>
  <c r="K14" i="14"/>
  <c r="L14" i="14"/>
  <c r="M14" i="14"/>
  <c r="O14" i="14" s="1"/>
  <c r="N14" i="14"/>
  <c r="K15" i="14"/>
  <c r="L15" i="14"/>
  <c r="M15" i="14"/>
  <c r="P15" i="14" s="1"/>
  <c r="N15" i="14"/>
  <c r="K16" i="14"/>
  <c r="L16" i="14"/>
  <c r="M16" i="14"/>
  <c r="O16" i="14" s="1"/>
  <c r="N16" i="14"/>
  <c r="K17" i="14"/>
  <c r="L17" i="14"/>
  <c r="M17" i="14"/>
  <c r="O17" i="14" s="1"/>
  <c r="N17" i="14"/>
  <c r="K18" i="14"/>
  <c r="L18" i="14"/>
  <c r="M18" i="14"/>
  <c r="O18" i="14" s="1"/>
  <c r="N18" i="14"/>
  <c r="K19" i="14"/>
  <c r="L19" i="14"/>
  <c r="M19" i="14"/>
  <c r="P19" i="14" s="1"/>
  <c r="N19" i="14"/>
  <c r="K20" i="14"/>
  <c r="L20" i="14"/>
  <c r="M20" i="14"/>
  <c r="N20" i="14"/>
  <c r="K21" i="14"/>
  <c r="L21" i="14"/>
  <c r="M21" i="14"/>
  <c r="O21" i="14" s="1"/>
  <c r="N21" i="14"/>
  <c r="K22" i="14"/>
  <c r="L22" i="14"/>
  <c r="M22" i="14"/>
  <c r="O22" i="14" s="1"/>
  <c r="N22" i="14"/>
  <c r="K23" i="14"/>
  <c r="L23" i="14"/>
  <c r="M23" i="14"/>
  <c r="P23" i="14" s="1"/>
  <c r="N23" i="14"/>
  <c r="K24" i="14"/>
  <c r="L24" i="14"/>
  <c r="M24" i="14"/>
  <c r="N24" i="14"/>
  <c r="K25" i="14"/>
  <c r="L25" i="14"/>
  <c r="M25" i="14"/>
  <c r="N25" i="14"/>
  <c r="K26" i="14"/>
  <c r="L26" i="14"/>
  <c r="M26" i="14"/>
  <c r="O26" i="14" s="1"/>
  <c r="N26" i="14"/>
  <c r="K27" i="14"/>
  <c r="L27" i="14"/>
  <c r="M27" i="14"/>
  <c r="P27" i="14" s="1"/>
  <c r="N27" i="14"/>
  <c r="K28" i="14"/>
  <c r="L28" i="14"/>
  <c r="M28" i="14"/>
  <c r="N28" i="14"/>
  <c r="K29" i="14"/>
  <c r="L29" i="14"/>
  <c r="M29" i="14"/>
  <c r="N29" i="14"/>
  <c r="K30" i="14"/>
  <c r="L30" i="14"/>
  <c r="M30" i="14"/>
  <c r="O30" i="14" s="1"/>
  <c r="N30" i="14"/>
  <c r="K31" i="14"/>
  <c r="L31" i="14"/>
  <c r="M31" i="14"/>
  <c r="P31" i="14" s="1"/>
  <c r="N31" i="14"/>
  <c r="K32" i="14"/>
  <c r="L32" i="14"/>
  <c r="M32" i="14"/>
  <c r="N32" i="14"/>
  <c r="K33" i="14"/>
  <c r="L33" i="14"/>
  <c r="M33" i="14"/>
  <c r="O33" i="14" s="1"/>
  <c r="N33" i="14"/>
  <c r="K34" i="14"/>
  <c r="L34" i="14"/>
  <c r="M34" i="14"/>
  <c r="O34" i="14" s="1"/>
  <c r="N34" i="14"/>
  <c r="K35" i="14"/>
  <c r="L35" i="14"/>
  <c r="M35" i="14"/>
  <c r="P35" i="14" s="1"/>
  <c r="N35" i="14"/>
  <c r="K36" i="14"/>
  <c r="L36" i="14"/>
  <c r="M36" i="14"/>
  <c r="N36" i="14"/>
  <c r="K37" i="14"/>
  <c r="L37" i="14"/>
  <c r="M37" i="14"/>
  <c r="O37" i="14" s="1"/>
  <c r="N37" i="14"/>
  <c r="K38" i="14"/>
  <c r="L38" i="14"/>
  <c r="M38" i="14"/>
  <c r="O38" i="14" s="1"/>
  <c r="N38" i="14"/>
  <c r="K39" i="14"/>
  <c r="L39" i="14"/>
  <c r="M39" i="14"/>
  <c r="P39" i="14" s="1"/>
  <c r="N39" i="14"/>
  <c r="K40" i="14"/>
  <c r="L40" i="14"/>
  <c r="M40" i="14"/>
  <c r="N40" i="14"/>
  <c r="K41" i="14"/>
  <c r="L41" i="14"/>
  <c r="M41" i="14"/>
  <c r="O41" i="14" s="1"/>
  <c r="N41" i="14"/>
  <c r="K42" i="14"/>
  <c r="L42" i="14"/>
  <c r="M42" i="14"/>
  <c r="O42" i="14" s="1"/>
  <c r="N42" i="14"/>
  <c r="K43" i="14"/>
  <c r="L43" i="14"/>
  <c r="M43" i="14"/>
  <c r="P43" i="14" s="1"/>
  <c r="N43" i="14"/>
  <c r="K44" i="14"/>
  <c r="L44" i="14"/>
  <c r="M44" i="14"/>
  <c r="N44" i="14"/>
  <c r="P44" i="14"/>
  <c r="K45" i="14"/>
  <c r="L45" i="14"/>
  <c r="M45" i="14"/>
  <c r="N45" i="14"/>
  <c r="K46" i="14"/>
  <c r="L46" i="14"/>
  <c r="M46" i="14"/>
  <c r="O46" i="14" s="1"/>
  <c r="N46" i="14"/>
  <c r="K47" i="14"/>
  <c r="L47" i="14"/>
  <c r="M47" i="14"/>
  <c r="P47" i="14" s="1"/>
  <c r="N47" i="14"/>
  <c r="K48" i="14"/>
  <c r="L48" i="14"/>
  <c r="M48" i="14"/>
  <c r="N48" i="14"/>
  <c r="K49" i="14"/>
  <c r="L49" i="14"/>
  <c r="M49" i="14"/>
  <c r="P49" i="14" s="1"/>
  <c r="N49" i="14"/>
  <c r="O49" i="14"/>
  <c r="J14" i="14"/>
  <c r="J15" i="14"/>
  <c r="J16" i="14"/>
  <c r="J17" i="14"/>
  <c r="J18" i="14"/>
  <c r="J19" i="14"/>
  <c r="J20" i="14"/>
  <c r="J21" i="14"/>
  <c r="J22" i="14"/>
  <c r="J23" i="14"/>
  <c r="J24" i="14"/>
  <c r="J25" i="14"/>
  <c r="J26" i="14"/>
  <c r="J27" i="14"/>
  <c r="J28" i="14"/>
  <c r="J29" i="14"/>
  <c r="J30" i="14"/>
  <c r="J31" i="14"/>
  <c r="J32" i="14"/>
  <c r="J33" i="14"/>
  <c r="J34" i="14"/>
  <c r="J35" i="14"/>
  <c r="J36" i="14"/>
  <c r="J37" i="14"/>
  <c r="J38" i="14"/>
  <c r="J39" i="14"/>
  <c r="J40" i="14"/>
  <c r="J41" i="14"/>
  <c r="J42" i="14"/>
  <c r="J43" i="14"/>
  <c r="J44" i="14"/>
  <c r="J45" i="14"/>
  <c r="J46" i="14"/>
  <c r="J47" i="14"/>
  <c r="J48" i="14"/>
  <c r="J49" i="14"/>
  <c r="K14" i="13"/>
  <c r="K15" i="13"/>
  <c r="K16" i="13"/>
  <c r="K17" i="13"/>
  <c r="K18" i="13"/>
  <c r="K19" i="13"/>
  <c r="K20" i="13"/>
  <c r="K21" i="13"/>
  <c r="K22" i="13"/>
  <c r="K23" i="13"/>
  <c r="K24" i="13"/>
  <c r="K25" i="13"/>
  <c r="K26" i="13"/>
  <c r="K27" i="13"/>
  <c r="K28" i="13"/>
  <c r="K29" i="13"/>
  <c r="K30" i="13"/>
  <c r="K31" i="13"/>
  <c r="K32" i="13"/>
  <c r="K33" i="13"/>
  <c r="K34" i="13"/>
  <c r="K35" i="13"/>
  <c r="K36" i="13"/>
  <c r="K37" i="13"/>
  <c r="K38" i="13"/>
  <c r="K39" i="13"/>
  <c r="K40" i="13"/>
  <c r="K41" i="13"/>
  <c r="K42" i="13"/>
  <c r="K43" i="13"/>
  <c r="K44" i="13"/>
  <c r="K45" i="13"/>
  <c r="K46" i="13"/>
  <c r="K47" i="13"/>
  <c r="K48" i="13"/>
  <c r="K49" i="13"/>
  <c r="L14" i="13"/>
  <c r="M14" i="13"/>
  <c r="O14" i="13" s="1"/>
  <c r="L15" i="13"/>
  <c r="M15" i="13"/>
  <c r="N15" i="13"/>
  <c r="L16" i="13"/>
  <c r="M16" i="13"/>
  <c r="N16" i="13"/>
  <c r="L17" i="13"/>
  <c r="M17" i="13"/>
  <c r="P17" i="13" s="1"/>
  <c r="N17" i="13"/>
  <c r="L18" i="13"/>
  <c r="M18" i="13"/>
  <c r="P18" i="13" s="1"/>
  <c r="L19" i="13"/>
  <c r="M19" i="13"/>
  <c r="P19" i="13" s="1"/>
  <c r="N19" i="13"/>
  <c r="L20" i="13"/>
  <c r="M20" i="13"/>
  <c r="P20" i="13" s="1"/>
  <c r="L21" i="13"/>
  <c r="M21" i="13"/>
  <c r="P21" i="13" s="1"/>
  <c r="N21" i="13"/>
  <c r="L22" i="13"/>
  <c r="M22" i="13"/>
  <c r="P22" i="13" s="1"/>
  <c r="N22" i="13"/>
  <c r="L23" i="13"/>
  <c r="M23" i="13"/>
  <c r="P23" i="13" s="1"/>
  <c r="N23" i="13"/>
  <c r="L24" i="13"/>
  <c r="M24" i="13"/>
  <c r="P24" i="13" s="1"/>
  <c r="N24" i="13"/>
  <c r="L25" i="13"/>
  <c r="M25" i="13"/>
  <c r="P25" i="13" s="1"/>
  <c r="L26" i="13"/>
  <c r="M26" i="13"/>
  <c r="P26" i="13" s="1"/>
  <c r="L27" i="13"/>
  <c r="M27" i="13"/>
  <c r="P27" i="13" s="1"/>
  <c r="N27" i="13"/>
  <c r="L28" i="13"/>
  <c r="M28" i="13"/>
  <c r="P28" i="13" s="1"/>
  <c r="N28" i="13"/>
  <c r="L29" i="13"/>
  <c r="M29" i="13"/>
  <c r="P29" i="13" s="1"/>
  <c r="N29" i="13"/>
  <c r="L30" i="13"/>
  <c r="M30" i="13"/>
  <c r="P30" i="13" s="1"/>
  <c r="N30" i="13"/>
  <c r="L31" i="13"/>
  <c r="M31" i="13"/>
  <c r="P31" i="13" s="1"/>
  <c r="N31" i="13"/>
  <c r="L32" i="13"/>
  <c r="M32" i="13"/>
  <c r="P32" i="13" s="1"/>
  <c r="N32" i="13"/>
  <c r="L33" i="13"/>
  <c r="M33" i="13"/>
  <c r="P33" i="13" s="1"/>
  <c r="N33" i="13"/>
  <c r="L34" i="13"/>
  <c r="M34" i="13"/>
  <c r="P34" i="13" s="1"/>
  <c r="N34" i="13"/>
  <c r="L35" i="13"/>
  <c r="M35" i="13"/>
  <c r="P35" i="13" s="1"/>
  <c r="N35" i="13"/>
  <c r="L36" i="13"/>
  <c r="M36" i="13"/>
  <c r="P36" i="13" s="1"/>
  <c r="N36" i="13"/>
  <c r="L37" i="13"/>
  <c r="M37" i="13"/>
  <c r="P37" i="13" s="1"/>
  <c r="N37" i="13"/>
  <c r="L38" i="13"/>
  <c r="M38" i="13"/>
  <c r="P38" i="13" s="1"/>
  <c r="N38" i="13"/>
  <c r="L39" i="13"/>
  <c r="M39" i="13"/>
  <c r="P39" i="13" s="1"/>
  <c r="N39" i="13"/>
  <c r="L40" i="13"/>
  <c r="M40" i="13"/>
  <c r="P40" i="13" s="1"/>
  <c r="N40" i="13"/>
  <c r="L41" i="13"/>
  <c r="M41" i="13"/>
  <c r="P41" i="13" s="1"/>
  <c r="N41" i="13"/>
  <c r="L42" i="13"/>
  <c r="M42" i="13"/>
  <c r="P42" i="13" s="1"/>
  <c r="N42" i="13"/>
  <c r="L43" i="13"/>
  <c r="M43" i="13"/>
  <c r="P43" i="13" s="1"/>
  <c r="N43" i="13"/>
  <c r="L44" i="13"/>
  <c r="M44" i="13"/>
  <c r="P44" i="13" s="1"/>
  <c r="N44" i="13"/>
  <c r="L45" i="13"/>
  <c r="M45" i="13"/>
  <c r="P45" i="13" s="1"/>
  <c r="N45" i="13"/>
  <c r="L46" i="13"/>
  <c r="M46" i="13"/>
  <c r="P46" i="13" s="1"/>
  <c r="N46" i="13"/>
  <c r="L47" i="13"/>
  <c r="M47" i="13"/>
  <c r="P47" i="13" s="1"/>
  <c r="N47" i="13"/>
  <c r="O47" i="13"/>
  <c r="L48" i="13"/>
  <c r="M48" i="13"/>
  <c r="P48" i="13" s="1"/>
  <c r="N48" i="13"/>
  <c r="L49" i="13"/>
  <c r="M49" i="13"/>
  <c r="P49" i="13" s="1"/>
  <c r="N49" i="13"/>
  <c r="N20" i="13" l="1"/>
  <c r="N14" i="13"/>
  <c r="O30" i="13"/>
  <c r="O44" i="14"/>
  <c r="P17" i="14"/>
  <c r="O32" i="13"/>
  <c r="O27" i="13"/>
  <c r="Q43" i="14"/>
  <c r="Q21" i="14"/>
  <c r="P33" i="14"/>
  <c r="Q22" i="14"/>
  <c r="Q47" i="14"/>
  <c r="O40" i="14"/>
  <c r="P20" i="14"/>
  <c r="P36" i="14"/>
  <c r="P24" i="14"/>
  <c r="P21" i="14"/>
  <c r="Q33" i="14"/>
  <c r="P29" i="14"/>
  <c r="O24" i="14"/>
  <c r="Q17" i="14"/>
  <c r="Q27" i="14"/>
  <c r="O42" i="13"/>
  <c r="O38" i="13"/>
  <c r="Q38" i="13"/>
  <c r="O43" i="13"/>
  <c r="O31" i="13"/>
  <c r="Q44" i="13"/>
  <c r="Q37" i="14"/>
  <c r="Q49" i="14"/>
  <c r="P40" i="14"/>
  <c r="Q29" i="14"/>
  <c r="Q18" i="14"/>
  <c r="P37" i="14"/>
  <c r="Q34" i="14"/>
  <c r="Q31" i="14"/>
  <c r="P28" i="14"/>
  <c r="Q38" i="14"/>
  <c r="O28" i="14"/>
  <c r="O39" i="13"/>
  <c r="Q36" i="13"/>
  <c r="Q48" i="13"/>
  <c r="Q42" i="13"/>
  <c r="Q30" i="13"/>
  <c r="P14" i="13"/>
  <c r="Q34" i="13"/>
  <c r="Q46" i="13"/>
  <c r="O34" i="13"/>
  <c r="Q17" i="13"/>
  <c r="Q14" i="13"/>
  <c r="Q40" i="13"/>
  <c r="O46" i="13"/>
  <c r="O35" i="13"/>
  <c r="Q32" i="13"/>
  <c r="O17" i="13"/>
  <c r="O24" i="13"/>
  <c r="O22" i="13"/>
  <c r="N26" i="13"/>
  <c r="N25" i="13"/>
  <c r="Q24" i="13"/>
  <c r="Q22" i="13"/>
  <c r="O19" i="13"/>
  <c r="Q18" i="13"/>
  <c r="N18" i="13"/>
  <c r="Q28" i="13"/>
  <c r="Q26" i="13"/>
  <c r="O23" i="13"/>
  <c r="Q20" i="13"/>
  <c r="O18" i="13"/>
  <c r="P16" i="13"/>
  <c r="Q16" i="13"/>
  <c r="O28" i="13"/>
  <c r="O26" i="13"/>
  <c r="O20" i="13"/>
  <c r="O16" i="13"/>
  <c r="P45" i="14"/>
  <c r="P48" i="14"/>
  <c r="Q46" i="14"/>
  <c r="O45" i="14"/>
  <c r="P41" i="14"/>
  <c r="Q41" i="14"/>
  <c r="Q39" i="14"/>
  <c r="O36" i="14"/>
  <c r="P32" i="14"/>
  <c r="Q30" i="14"/>
  <c r="O29" i="14"/>
  <c r="P25" i="14"/>
  <c r="Q25" i="14"/>
  <c r="Q23" i="14"/>
  <c r="O20" i="14"/>
  <c r="P16" i="14"/>
  <c r="Q14" i="14"/>
  <c r="O48" i="14"/>
  <c r="Q42" i="14"/>
  <c r="Q35" i="14"/>
  <c r="O32" i="14"/>
  <c r="Q26" i="14"/>
  <c r="O25" i="14"/>
  <c r="Q19" i="14"/>
  <c r="Q15" i="14"/>
  <c r="P14" i="14"/>
  <c r="Q45" i="14"/>
  <c r="Q49" i="13"/>
  <c r="O48" i="13"/>
  <c r="Q45" i="13"/>
  <c r="O44" i="13"/>
  <c r="Q41" i="13"/>
  <c r="O40" i="13"/>
  <c r="Q37" i="13"/>
  <c r="O36" i="13"/>
  <c r="Q33" i="13"/>
  <c r="Q29" i="13"/>
  <c r="Q25" i="13"/>
  <c r="Q21" i="13"/>
  <c r="P15" i="13"/>
  <c r="Q15" i="13"/>
  <c r="O49" i="13"/>
  <c r="O37" i="13"/>
  <c r="O33" i="13"/>
  <c r="O29" i="13"/>
  <c r="O25" i="13"/>
  <c r="O21" i="13"/>
  <c r="O15" i="13"/>
  <c r="O45" i="13"/>
  <c r="O41" i="13"/>
  <c r="Q47" i="13"/>
  <c r="Q43" i="13"/>
  <c r="Q39" i="13"/>
  <c r="Q35" i="13"/>
  <c r="Q31" i="13"/>
  <c r="Q27" i="13"/>
  <c r="Q23" i="13"/>
  <c r="Q19" i="13"/>
  <c r="O47" i="14"/>
  <c r="P46" i="14"/>
  <c r="O43" i="14"/>
  <c r="P42" i="14"/>
  <c r="O39" i="14"/>
  <c r="P38" i="14"/>
  <c r="O35" i="14"/>
  <c r="P34" i="14"/>
  <c r="O31" i="14"/>
  <c r="P30" i="14"/>
  <c r="O27" i="14"/>
  <c r="P26" i="14"/>
  <c r="O23" i="14"/>
  <c r="P22" i="14"/>
  <c r="O19" i="14"/>
  <c r="P18" i="14"/>
  <c r="O15" i="14"/>
  <c r="Q48" i="14"/>
  <c r="Q44" i="14"/>
  <c r="Q40" i="14"/>
  <c r="Q36" i="14"/>
  <c r="Q32" i="14"/>
  <c r="Q28" i="14"/>
  <c r="Q24" i="14"/>
  <c r="Q20" i="14"/>
  <c r="Q16" i="14"/>
  <c r="N14" i="15"/>
  <c r="N15" i="15"/>
  <c r="N16" i="15"/>
  <c r="N17" i="15"/>
  <c r="N18" i="15"/>
  <c r="N19" i="15"/>
  <c r="N20" i="15"/>
  <c r="N21" i="15"/>
  <c r="N22" i="15"/>
  <c r="N23" i="15"/>
  <c r="N24" i="15"/>
  <c r="N25" i="15"/>
  <c r="N26" i="15"/>
  <c r="N27" i="15"/>
  <c r="N28" i="15"/>
  <c r="N29" i="15"/>
  <c r="N30" i="15"/>
  <c r="N31" i="15"/>
  <c r="N32" i="15"/>
  <c r="N33" i="15"/>
  <c r="N34" i="15"/>
  <c r="N35" i="15"/>
  <c r="N36" i="15"/>
  <c r="N37" i="15"/>
  <c r="N38" i="15"/>
  <c r="N39" i="15"/>
  <c r="N40" i="15"/>
  <c r="N41" i="15"/>
  <c r="N42" i="15"/>
  <c r="N43" i="15"/>
  <c r="N44" i="15"/>
  <c r="N45" i="15"/>
  <c r="N46" i="15"/>
  <c r="N47" i="15"/>
  <c r="N48" i="15"/>
  <c r="N49" i="15"/>
  <c r="N14" i="16"/>
  <c r="N15" i="16"/>
  <c r="N16" i="16"/>
  <c r="N17" i="16"/>
  <c r="N18" i="16"/>
  <c r="N19" i="16"/>
  <c r="N20" i="16"/>
  <c r="N21" i="16"/>
  <c r="N22" i="16"/>
  <c r="N23" i="16"/>
  <c r="N24" i="16"/>
  <c r="N25" i="16"/>
  <c r="N26" i="16"/>
  <c r="N27" i="16"/>
  <c r="N28" i="16"/>
  <c r="N29" i="16"/>
  <c r="N30" i="16"/>
  <c r="N31" i="16"/>
  <c r="N32" i="16"/>
  <c r="N33" i="16"/>
  <c r="N34" i="16"/>
  <c r="N35" i="16"/>
  <c r="N36" i="16"/>
  <c r="N37" i="16"/>
  <c r="N38" i="16"/>
  <c r="N39" i="16"/>
  <c r="N40" i="16"/>
  <c r="N41" i="16"/>
  <c r="N42" i="16"/>
  <c r="N43" i="16"/>
  <c r="N44" i="16"/>
  <c r="N45" i="16"/>
  <c r="N46" i="16"/>
  <c r="N47" i="16"/>
  <c r="N48" i="16"/>
  <c r="N49" i="16"/>
  <c r="N14" i="17"/>
  <c r="N15" i="17"/>
  <c r="N16" i="17"/>
  <c r="N17" i="17"/>
  <c r="N18" i="17"/>
  <c r="N19" i="17"/>
  <c r="N20" i="17"/>
  <c r="N21" i="17"/>
  <c r="N22" i="17"/>
  <c r="N23" i="17"/>
  <c r="N24" i="17"/>
  <c r="N25" i="17"/>
  <c r="N26" i="17"/>
  <c r="N27" i="17"/>
  <c r="N28" i="17"/>
  <c r="N29" i="17"/>
  <c r="N30" i="17"/>
  <c r="N31" i="17"/>
  <c r="N32" i="17"/>
  <c r="N33" i="17"/>
  <c r="N34" i="17"/>
  <c r="N35" i="17"/>
  <c r="N36" i="17"/>
  <c r="N37" i="17"/>
  <c r="N38" i="17"/>
  <c r="N39" i="17"/>
  <c r="N40" i="17"/>
  <c r="N41" i="17"/>
  <c r="N42" i="17"/>
  <c r="N43" i="17"/>
  <c r="N44" i="17"/>
  <c r="N45" i="17"/>
  <c r="N46" i="17"/>
  <c r="N47" i="17"/>
  <c r="N48" i="17"/>
  <c r="N49" i="17"/>
  <c r="N14" i="19"/>
  <c r="N15" i="19"/>
  <c r="N16" i="19"/>
  <c r="N17" i="19"/>
  <c r="N18" i="19"/>
  <c r="N19" i="19"/>
  <c r="N20" i="19"/>
  <c r="N21" i="19"/>
  <c r="N22" i="19"/>
  <c r="N23" i="19"/>
  <c r="N24" i="19"/>
  <c r="N25" i="19"/>
  <c r="N26" i="19"/>
  <c r="N27" i="19"/>
  <c r="N28" i="19"/>
  <c r="N29" i="19"/>
  <c r="N30" i="19"/>
  <c r="N31" i="19"/>
  <c r="N32" i="19"/>
  <c r="N33" i="19"/>
  <c r="N34" i="19"/>
  <c r="N35" i="19"/>
  <c r="N36" i="19"/>
  <c r="N37" i="19"/>
  <c r="N38" i="19"/>
  <c r="N39" i="19"/>
  <c r="N40" i="19"/>
  <c r="N41" i="19"/>
  <c r="N42" i="19"/>
  <c r="N43" i="19"/>
  <c r="N44" i="19"/>
  <c r="N45" i="19"/>
  <c r="N46" i="19"/>
  <c r="N47" i="19"/>
  <c r="N48" i="19"/>
  <c r="N49" i="19"/>
  <c r="N14" i="20"/>
  <c r="N15" i="20"/>
  <c r="N16" i="20"/>
  <c r="N17" i="20"/>
  <c r="N18" i="20"/>
  <c r="N19" i="20"/>
  <c r="N20" i="20"/>
  <c r="N21" i="20"/>
  <c r="N22" i="20"/>
  <c r="N23" i="20"/>
  <c r="N24" i="20"/>
  <c r="N25" i="20"/>
  <c r="N26" i="20"/>
  <c r="N27" i="20"/>
  <c r="N28" i="20"/>
  <c r="N29" i="20"/>
  <c r="N30" i="20"/>
  <c r="N31" i="20"/>
  <c r="N32" i="20"/>
  <c r="N33" i="20"/>
  <c r="N34" i="20"/>
  <c r="N35" i="20"/>
  <c r="N36" i="20"/>
  <c r="N37" i="20"/>
  <c r="N38" i="20"/>
  <c r="N39" i="20"/>
  <c r="N40" i="20"/>
  <c r="N41" i="20"/>
  <c r="N42" i="20"/>
  <c r="N43" i="20"/>
  <c r="N44" i="20"/>
  <c r="N45" i="20"/>
  <c r="N46" i="20"/>
  <c r="N47" i="20"/>
  <c r="N48" i="20"/>
  <c r="N49" i="20"/>
  <c r="N14" i="25"/>
  <c r="N15" i="25"/>
  <c r="N16" i="25"/>
  <c r="N17" i="25"/>
  <c r="N18" i="25"/>
  <c r="N19" i="25"/>
  <c r="N20" i="25"/>
  <c r="N21" i="25"/>
  <c r="N22" i="25"/>
  <c r="N23" i="25"/>
  <c r="N24" i="25"/>
  <c r="N25" i="25"/>
  <c r="N26" i="25"/>
  <c r="N27" i="25"/>
  <c r="N28" i="25"/>
  <c r="N29" i="25"/>
  <c r="N30" i="25"/>
  <c r="N31" i="25"/>
  <c r="N32" i="25"/>
  <c r="N33" i="25"/>
  <c r="N34" i="25"/>
  <c r="N35" i="25"/>
  <c r="N36" i="25"/>
  <c r="N37" i="25"/>
  <c r="N38" i="25"/>
  <c r="N39" i="25"/>
  <c r="N40" i="25"/>
  <c r="N41" i="25"/>
  <c r="N42" i="25"/>
  <c r="N43" i="25"/>
  <c r="N44" i="25"/>
  <c r="N45" i="25"/>
  <c r="N46" i="25"/>
  <c r="N47" i="25"/>
  <c r="N48" i="25"/>
  <c r="N49" i="25"/>
  <c r="N14" i="24"/>
  <c r="N15" i="24"/>
  <c r="N16" i="24"/>
  <c r="N17" i="24"/>
  <c r="N18" i="24"/>
  <c r="N19" i="24"/>
  <c r="N20" i="24"/>
  <c r="N21" i="24"/>
  <c r="N22" i="24"/>
  <c r="N23" i="24"/>
  <c r="N24" i="24"/>
  <c r="N25" i="24"/>
  <c r="N26" i="24"/>
  <c r="N27" i="24"/>
  <c r="N28" i="24"/>
  <c r="N29" i="24"/>
  <c r="N30" i="24"/>
  <c r="N31" i="24"/>
  <c r="N32" i="24"/>
  <c r="N33" i="24"/>
  <c r="N34" i="24"/>
  <c r="N35" i="24"/>
  <c r="N36" i="24"/>
  <c r="N37" i="24"/>
  <c r="N38" i="24"/>
  <c r="N39" i="24"/>
  <c r="N40" i="24"/>
  <c r="N41" i="24"/>
  <c r="N42" i="24"/>
  <c r="N43" i="24"/>
  <c r="N44" i="24"/>
  <c r="N45" i="24"/>
  <c r="N46" i="24"/>
  <c r="N47" i="24"/>
  <c r="N48" i="24"/>
  <c r="N49" i="24"/>
  <c r="N14" i="23"/>
  <c r="N15" i="23"/>
  <c r="N17" i="23"/>
  <c r="N18" i="23"/>
  <c r="N19" i="23"/>
  <c r="N20" i="23"/>
  <c r="N21" i="23"/>
  <c r="N22" i="23"/>
  <c r="N23" i="23"/>
  <c r="N24" i="23"/>
  <c r="N25" i="23"/>
  <c r="N26" i="23"/>
  <c r="N27" i="23"/>
  <c r="N28" i="23"/>
  <c r="N29" i="23"/>
  <c r="N30" i="23"/>
  <c r="N31" i="23"/>
  <c r="N32" i="23"/>
  <c r="N33" i="23"/>
  <c r="N34" i="23"/>
  <c r="N35" i="23"/>
  <c r="N36" i="23"/>
  <c r="N37" i="23"/>
  <c r="N38" i="23"/>
  <c r="N39" i="23"/>
  <c r="N40" i="23"/>
  <c r="N41" i="23"/>
  <c r="N42" i="23"/>
  <c r="N43" i="23"/>
  <c r="N44" i="23"/>
  <c r="N45" i="23"/>
  <c r="N46" i="23"/>
  <c r="N47" i="23"/>
  <c r="N48" i="23"/>
  <c r="N49" i="23"/>
  <c r="N14" i="22"/>
  <c r="N15" i="22"/>
  <c r="N16" i="22"/>
  <c r="N17" i="22"/>
  <c r="N18" i="22"/>
  <c r="N19" i="22"/>
  <c r="N20" i="22"/>
  <c r="N21" i="22"/>
  <c r="N22" i="22"/>
  <c r="N23" i="22"/>
  <c r="N24" i="22"/>
  <c r="N25" i="22"/>
  <c r="N26" i="22"/>
  <c r="N27" i="22"/>
  <c r="N28" i="22"/>
  <c r="N29" i="22"/>
  <c r="N30" i="22"/>
  <c r="N31" i="22"/>
  <c r="N32" i="22"/>
  <c r="N33" i="22"/>
  <c r="N34" i="22"/>
  <c r="N35" i="22"/>
  <c r="N36" i="22"/>
  <c r="N37" i="22"/>
  <c r="N38" i="22"/>
  <c r="N39" i="22"/>
  <c r="N40" i="22"/>
  <c r="N41" i="22"/>
  <c r="N42" i="22"/>
  <c r="N43" i="22"/>
  <c r="N44" i="22"/>
  <c r="N45" i="22"/>
  <c r="N46" i="22"/>
  <c r="N47" i="22"/>
  <c r="N48" i="22"/>
  <c r="N49" i="22"/>
  <c r="N14" i="21"/>
  <c r="N15" i="21"/>
  <c r="N16" i="21"/>
  <c r="N17" i="21"/>
  <c r="N18" i="21"/>
  <c r="N19" i="21"/>
  <c r="N20" i="21"/>
  <c r="N21" i="21"/>
  <c r="N22" i="21"/>
  <c r="N23" i="21"/>
  <c r="N24" i="21"/>
  <c r="N25" i="21"/>
  <c r="N26" i="21"/>
  <c r="N27" i="21"/>
  <c r="N28" i="21"/>
  <c r="N29" i="21"/>
  <c r="N30" i="21"/>
  <c r="N31" i="21"/>
  <c r="N32" i="21"/>
  <c r="N33" i="21"/>
  <c r="N34" i="21"/>
  <c r="N35" i="21"/>
  <c r="N36" i="21"/>
  <c r="N37" i="21"/>
  <c r="N38" i="21"/>
  <c r="N39" i="21"/>
  <c r="N40" i="21"/>
  <c r="N41" i="21"/>
  <c r="N42" i="21"/>
  <c r="N43" i="21"/>
  <c r="N44" i="21"/>
  <c r="N45" i="21"/>
  <c r="N46" i="21"/>
  <c r="N47" i="21"/>
  <c r="N48" i="21"/>
  <c r="N49" i="21"/>
  <c r="N13" i="21"/>
  <c r="N13" i="22"/>
  <c r="N13" i="23"/>
  <c r="N13" i="24"/>
  <c r="N13" i="25"/>
  <c r="N13" i="20"/>
  <c r="N13" i="19"/>
  <c r="N13" i="17"/>
  <c r="N13" i="16"/>
  <c r="N13" i="15"/>
  <c r="N13" i="14"/>
  <c r="I5" i="21" l="1"/>
  <c r="I5" i="22"/>
  <c r="I5" i="23"/>
  <c r="I5" i="24"/>
  <c r="I5" i="25"/>
  <c r="I5" i="20"/>
  <c r="I5" i="19"/>
  <c r="I5" i="17"/>
  <c r="I5" i="16"/>
  <c r="I5" i="15"/>
  <c r="M49" i="25" l="1"/>
  <c r="L49" i="25"/>
  <c r="K49" i="25"/>
  <c r="J49" i="25"/>
  <c r="M48" i="25"/>
  <c r="P48" i="25" s="1"/>
  <c r="L48" i="25"/>
  <c r="K48" i="25"/>
  <c r="J48" i="25"/>
  <c r="M47" i="25"/>
  <c r="L47" i="25"/>
  <c r="K47" i="25"/>
  <c r="J47" i="25"/>
  <c r="M46" i="25"/>
  <c r="L46" i="25"/>
  <c r="K46" i="25"/>
  <c r="J46" i="25"/>
  <c r="M45" i="25"/>
  <c r="L45" i="25"/>
  <c r="K45" i="25"/>
  <c r="J45" i="25"/>
  <c r="M44" i="25"/>
  <c r="L44" i="25"/>
  <c r="K44" i="25"/>
  <c r="J44" i="25"/>
  <c r="M43" i="25"/>
  <c r="O43" i="25" s="1"/>
  <c r="L43" i="25"/>
  <c r="K43" i="25"/>
  <c r="J43" i="25"/>
  <c r="M42" i="25"/>
  <c r="L42" i="25"/>
  <c r="K42" i="25"/>
  <c r="J42" i="25"/>
  <c r="M41" i="25"/>
  <c r="L41" i="25"/>
  <c r="K41" i="25"/>
  <c r="J41" i="25"/>
  <c r="M40" i="25"/>
  <c r="P40" i="25" s="1"/>
  <c r="L40" i="25"/>
  <c r="K40" i="25"/>
  <c r="J40" i="25"/>
  <c r="M39" i="25"/>
  <c r="L39" i="25"/>
  <c r="K39" i="25"/>
  <c r="J39" i="25"/>
  <c r="M38" i="25"/>
  <c r="P38" i="25" s="1"/>
  <c r="L38" i="25"/>
  <c r="K38" i="25"/>
  <c r="J38" i="25"/>
  <c r="M37" i="25"/>
  <c r="L37" i="25"/>
  <c r="K37" i="25"/>
  <c r="J37" i="25"/>
  <c r="M36" i="25"/>
  <c r="O36" i="25" s="1"/>
  <c r="L36" i="25"/>
  <c r="K36" i="25"/>
  <c r="J36" i="25"/>
  <c r="M35" i="25"/>
  <c r="O35" i="25" s="1"/>
  <c r="L35" i="25"/>
  <c r="K35" i="25"/>
  <c r="J35" i="25"/>
  <c r="M34" i="25"/>
  <c r="L34" i="25"/>
  <c r="K34" i="25"/>
  <c r="J34" i="25"/>
  <c r="M33" i="25"/>
  <c r="Q33" i="25" s="1"/>
  <c r="L33" i="25"/>
  <c r="K33" i="25"/>
  <c r="J33" i="25"/>
  <c r="M32" i="25"/>
  <c r="P32" i="25" s="1"/>
  <c r="L32" i="25"/>
  <c r="K32" i="25"/>
  <c r="J32" i="25"/>
  <c r="M31" i="25"/>
  <c r="L31" i="25"/>
  <c r="K31" i="25"/>
  <c r="J31" i="25"/>
  <c r="M30" i="25"/>
  <c r="L30" i="25"/>
  <c r="K30" i="25"/>
  <c r="J30" i="25"/>
  <c r="M29" i="25"/>
  <c r="L29" i="25"/>
  <c r="K29" i="25"/>
  <c r="J29" i="25"/>
  <c r="M28" i="25"/>
  <c r="L28" i="25"/>
  <c r="K28" i="25"/>
  <c r="J28" i="25"/>
  <c r="M27" i="25"/>
  <c r="O27" i="25" s="1"/>
  <c r="L27" i="25"/>
  <c r="K27" i="25"/>
  <c r="J27" i="25"/>
  <c r="M26" i="25"/>
  <c r="L26" i="25"/>
  <c r="K26" i="25"/>
  <c r="J26" i="25"/>
  <c r="O25" i="25"/>
  <c r="M25" i="25"/>
  <c r="P25" i="25" s="1"/>
  <c r="L25" i="25"/>
  <c r="K25" i="25"/>
  <c r="J25" i="25"/>
  <c r="M24" i="25"/>
  <c r="P24" i="25" s="1"/>
  <c r="L24" i="25"/>
  <c r="K24" i="25"/>
  <c r="J24" i="25"/>
  <c r="M23" i="25"/>
  <c r="L23" i="25"/>
  <c r="K23" i="25"/>
  <c r="J23" i="25"/>
  <c r="M22" i="25"/>
  <c r="L22" i="25"/>
  <c r="K22" i="25"/>
  <c r="J22" i="25"/>
  <c r="M21" i="25"/>
  <c r="L21" i="25"/>
  <c r="K21" i="25"/>
  <c r="J21" i="25"/>
  <c r="M20" i="25"/>
  <c r="L20" i="25"/>
  <c r="K20" i="25"/>
  <c r="J20" i="25"/>
  <c r="M19" i="25"/>
  <c r="O19" i="25" s="1"/>
  <c r="L19" i="25"/>
  <c r="K19" i="25"/>
  <c r="J19" i="25"/>
  <c r="M18" i="25"/>
  <c r="L18" i="25"/>
  <c r="K18" i="25"/>
  <c r="J18" i="25"/>
  <c r="M17" i="25"/>
  <c r="O17" i="25" s="1"/>
  <c r="L17" i="25"/>
  <c r="K17" i="25"/>
  <c r="J17" i="25"/>
  <c r="M16" i="25"/>
  <c r="P16" i="25" s="1"/>
  <c r="L16" i="25"/>
  <c r="K16" i="25"/>
  <c r="J16" i="25"/>
  <c r="M15" i="25"/>
  <c r="L15" i="25"/>
  <c r="K15" i="25"/>
  <c r="J15" i="25"/>
  <c r="M14" i="25"/>
  <c r="P14" i="25" s="1"/>
  <c r="L14" i="25"/>
  <c r="K14" i="25"/>
  <c r="J14" i="25"/>
  <c r="M13" i="25"/>
  <c r="L13" i="25"/>
  <c r="K13" i="25"/>
  <c r="J13" i="25"/>
  <c r="M49" i="24"/>
  <c r="L49" i="24"/>
  <c r="K49" i="24"/>
  <c r="J49" i="24"/>
  <c r="M48" i="24"/>
  <c r="P48" i="24" s="1"/>
  <c r="L48" i="24"/>
  <c r="K48" i="24"/>
  <c r="J48" i="24"/>
  <c r="M47" i="24"/>
  <c r="L47" i="24"/>
  <c r="K47" i="24"/>
  <c r="J47" i="24"/>
  <c r="M46" i="24"/>
  <c r="O46" i="24" s="1"/>
  <c r="L46" i="24"/>
  <c r="K46" i="24"/>
  <c r="J46" i="24"/>
  <c r="M45" i="24"/>
  <c r="L45" i="24"/>
  <c r="K45" i="24"/>
  <c r="J45" i="24"/>
  <c r="M44" i="24"/>
  <c r="L44" i="24"/>
  <c r="K44" i="24"/>
  <c r="J44" i="24"/>
  <c r="M43" i="24"/>
  <c r="O43" i="24" s="1"/>
  <c r="L43" i="24"/>
  <c r="K43" i="24"/>
  <c r="J43" i="24"/>
  <c r="M42" i="24"/>
  <c r="L42" i="24"/>
  <c r="K42" i="24"/>
  <c r="J42" i="24"/>
  <c r="M41" i="24"/>
  <c r="L41" i="24"/>
  <c r="K41" i="24"/>
  <c r="J41" i="24"/>
  <c r="M40" i="24"/>
  <c r="P40" i="24" s="1"/>
  <c r="L40" i="24"/>
  <c r="K40" i="24"/>
  <c r="J40" i="24"/>
  <c r="M39" i="24"/>
  <c r="L39" i="24"/>
  <c r="K39" i="24"/>
  <c r="J39" i="24"/>
  <c r="M38" i="24"/>
  <c r="L38" i="24"/>
  <c r="K38" i="24"/>
  <c r="J38" i="24"/>
  <c r="M37" i="24"/>
  <c r="L37" i="24"/>
  <c r="K37" i="24"/>
  <c r="J37" i="24"/>
  <c r="M36" i="24"/>
  <c r="L36" i="24"/>
  <c r="K36" i="24"/>
  <c r="J36" i="24"/>
  <c r="M35" i="24"/>
  <c r="O35" i="24" s="1"/>
  <c r="L35" i="24"/>
  <c r="K35" i="24"/>
  <c r="J35" i="24"/>
  <c r="M34" i="24"/>
  <c r="L34" i="24"/>
  <c r="K34" i="24"/>
  <c r="J34" i="24"/>
  <c r="M33" i="24"/>
  <c r="O33" i="24" s="1"/>
  <c r="L33" i="24"/>
  <c r="K33" i="24"/>
  <c r="J33" i="24"/>
  <c r="M32" i="24"/>
  <c r="P32" i="24" s="1"/>
  <c r="L32" i="24"/>
  <c r="K32" i="24"/>
  <c r="J32" i="24"/>
  <c r="M31" i="24"/>
  <c r="L31" i="24"/>
  <c r="K31" i="24"/>
  <c r="J31" i="24"/>
  <c r="M30" i="24"/>
  <c r="L30" i="24"/>
  <c r="K30" i="24"/>
  <c r="J30" i="24"/>
  <c r="M29" i="24"/>
  <c r="L29" i="24"/>
  <c r="K29" i="24"/>
  <c r="J29" i="24"/>
  <c r="M28" i="24"/>
  <c r="O28" i="24" s="1"/>
  <c r="L28" i="24"/>
  <c r="K28" i="24"/>
  <c r="J28" i="24"/>
  <c r="M27" i="24"/>
  <c r="O27" i="24" s="1"/>
  <c r="L27" i="24"/>
  <c r="K27" i="24"/>
  <c r="J27" i="24"/>
  <c r="M26" i="24"/>
  <c r="L26" i="24"/>
  <c r="K26" i="24"/>
  <c r="J26" i="24"/>
  <c r="O25" i="24"/>
  <c r="M25" i="24"/>
  <c r="L25" i="24"/>
  <c r="Q25" i="24" s="1"/>
  <c r="K25" i="24"/>
  <c r="J25" i="24"/>
  <c r="M24" i="24"/>
  <c r="P24" i="24" s="1"/>
  <c r="L24" i="24"/>
  <c r="K24" i="24"/>
  <c r="J24" i="24"/>
  <c r="M23" i="24"/>
  <c r="L23" i="24"/>
  <c r="K23" i="24"/>
  <c r="J23" i="24"/>
  <c r="M22" i="24"/>
  <c r="L22" i="24"/>
  <c r="K22" i="24"/>
  <c r="J22" i="24"/>
  <c r="M21" i="24"/>
  <c r="L21" i="24"/>
  <c r="K21" i="24"/>
  <c r="J21" i="24"/>
  <c r="M20" i="24"/>
  <c r="L20" i="24"/>
  <c r="K20" i="24"/>
  <c r="J20" i="24"/>
  <c r="M19" i="24"/>
  <c r="O19" i="24" s="1"/>
  <c r="L19" i="24"/>
  <c r="K19" i="24"/>
  <c r="J19" i="24"/>
  <c r="M18" i="24"/>
  <c r="L18" i="24"/>
  <c r="K18" i="24"/>
  <c r="J18" i="24"/>
  <c r="M17" i="24"/>
  <c r="L17" i="24"/>
  <c r="K17" i="24"/>
  <c r="J17" i="24"/>
  <c r="M16" i="24"/>
  <c r="P16" i="24" s="1"/>
  <c r="L16" i="24"/>
  <c r="K16" i="24"/>
  <c r="J16" i="24"/>
  <c r="M15" i="24"/>
  <c r="L15" i="24"/>
  <c r="K15" i="24"/>
  <c r="J15" i="24"/>
  <c r="M14" i="24"/>
  <c r="L14" i="24"/>
  <c r="K14" i="24"/>
  <c r="J14" i="24"/>
  <c r="M13" i="24"/>
  <c r="L13" i="24"/>
  <c r="K13" i="24"/>
  <c r="J13" i="24"/>
  <c r="M49" i="23"/>
  <c r="L49" i="23"/>
  <c r="K49" i="23"/>
  <c r="J49" i="23"/>
  <c r="M48" i="23"/>
  <c r="L48" i="23"/>
  <c r="K48" i="23"/>
  <c r="J48" i="23"/>
  <c r="M47" i="23"/>
  <c r="L47" i="23"/>
  <c r="K47" i="23"/>
  <c r="J47" i="23"/>
  <c r="M46" i="23"/>
  <c r="O46" i="23" s="1"/>
  <c r="L46" i="23"/>
  <c r="K46" i="23"/>
  <c r="J46" i="23"/>
  <c r="M45" i="23"/>
  <c r="L45" i="23"/>
  <c r="K45" i="23"/>
  <c r="J45" i="23"/>
  <c r="M44" i="23"/>
  <c r="L44" i="23"/>
  <c r="K44" i="23"/>
  <c r="J44" i="23"/>
  <c r="M43" i="23"/>
  <c r="O43" i="23" s="1"/>
  <c r="L43" i="23"/>
  <c r="K43" i="23"/>
  <c r="J43" i="23"/>
  <c r="M42" i="23"/>
  <c r="L42" i="23"/>
  <c r="K42" i="23"/>
  <c r="J42" i="23"/>
  <c r="M41" i="23"/>
  <c r="L41" i="23"/>
  <c r="K41" i="23"/>
  <c r="J41" i="23"/>
  <c r="M40" i="23"/>
  <c r="P40" i="23" s="1"/>
  <c r="L40" i="23"/>
  <c r="K40" i="23"/>
  <c r="J40" i="23"/>
  <c r="M39" i="23"/>
  <c r="L39" i="23"/>
  <c r="K39" i="23"/>
  <c r="J39" i="23"/>
  <c r="M38" i="23"/>
  <c r="P38" i="23" s="1"/>
  <c r="L38" i="23"/>
  <c r="K38" i="23"/>
  <c r="J38" i="23"/>
  <c r="M37" i="23"/>
  <c r="L37" i="23"/>
  <c r="K37" i="23"/>
  <c r="J37" i="23"/>
  <c r="M36" i="23"/>
  <c r="L36" i="23"/>
  <c r="K36" i="23"/>
  <c r="J36" i="23"/>
  <c r="M35" i="23"/>
  <c r="L35" i="23"/>
  <c r="K35" i="23"/>
  <c r="J35" i="23"/>
  <c r="M34" i="23"/>
  <c r="L34" i="23"/>
  <c r="K34" i="23"/>
  <c r="J34" i="23"/>
  <c r="M33" i="23"/>
  <c r="L33" i="23"/>
  <c r="K33" i="23"/>
  <c r="J33" i="23"/>
  <c r="M32" i="23"/>
  <c r="L32" i="23"/>
  <c r="K32" i="23"/>
  <c r="J32" i="23"/>
  <c r="M31" i="23"/>
  <c r="L31" i="23"/>
  <c r="K31" i="23"/>
  <c r="J31" i="23"/>
  <c r="M30" i="23"/>
  <c r="O30" i="23" s="1"/>
  <c r="L30" i="23"/>
  <c r="K30" i="23"/>
  <c r="J30" i="23"/>
  <c r="M29" i="23"/>
  <c r="P29" i="23" s="1"/>
  <c r="L29" i="23"/>
  <c r="K29" i="23"/>
  <c r="J29" i="23"/>
  <c r="M28" i="23"/>
  <c r="L28" i="23"/>
  <c r="K28" i="23"/>
  <c r="J28" i="23"/>
  <c r="M27" i="23"/>
  <c r="O27" i="23" s="1"/>
  <c r="L27" i="23"/>
  <c r="K27" i="23"/>
  <c r="J27" i="23"/>
  <c r="M26" i="23"/>
  <c r="L26" i="23"/>
  <c r="K26" i="23"/>
  <c r="J26" i="23"/>
  <c r="M25" i="23"/>
  <c r="O25" i="23" s="1"/>
  <c r="L25" i="23"/>
  <c r="K25" i="23"/>
  <c r="J25" i="23"/>
  <c r="M24" i="23"/>
  <c r="P24" i="23" s="1"/>
  <c r="L24" i="23"/>
  <c r="K24" i="23"/>
  <c r="J24" i="23"/>
  <c r="M23" i="23"/>
  <c r="L23" i="23"/>
  <c r="K23" i="23"/>
  <c r="J23" i="23"/>
  <c r="M22" i="23"/>
  <c r="L22" i="23"/>
  <c r="K22" i="23"/>
  <c r="J22" i="23"/>
  <c r="M21" i="23"/>
  <c r="P21" i="23" s="1"/>
  <c r="L21" i="23"/>
  <c r="K21" i="23"/>
  <c r="J21" i="23"/>
  <c r="M20" i="23"/>
  <c r="L20" i="23"/>
  <c r="K20" i="23"/>
  <c r="J20" i="23"/>
  <c r="M19" i="23"/>
  <c r="L19" i="23"/>
  <c r="K19" i="23"/>
  <c r="J19" i="23"/>
  <c r="M18" i="23"/>
  <c r="L18" i="23"/>
  <c r="K18" i="23"/>
  <c r="J18" i="23"/>
  <c r="M17" i="23"/>
  <c r="P17" i="23" s="1"/>
  <c r="L17" i="23"/>
  <c r="K17" i="23"/>
  <c r="J17" i="23"/>
  <c r="M16" i="23"/>
  <c r="N16" i="23" s="1"/>
  <c r="L16" i="23"/>
  <c r="K16" i="23"/>
  <c r="J16" i="23"/>
  <c r="M15" i="23"/>
  <c r="L15" i="23"/>
  <c r="K15" i="23"/>
  <c r="J15" i="23"/>
  <c r="M14" i="23"/>
  <c r="O14" i="23" s="1"/>
  <c r="L14" i="23"/>
  <c r="K14" i="23"/>
  <c r="J14" i="23"/>
  <c r="M13" i="23"/>
  <c r="L13" i="23"/>
  <c r="K13" i="23"/>
  <c r="J13" i="23"/>
  <c r="M49" i="22"/>
  <c r="L49" i="22"/>
  <c r="K49" i="22"/>
  <c r="J49" i="22"/>
  <c r="M48" i="22"/>
  <c r="L48" i="22"/>
  <c r="K48" i="22"/>
  <c r="J48" i="22"/>
  <c r="M47" i="22"/>
  <c r="L47" i="22"/>
  <c r="K47" i="22"/>
  <c r="J47" i="22"/>
  <c r="M46" i="22"/>
  <c r="O46" i="22" s="1"/>
  <c r="L46" i="22"/>
  <c r="K46" i="22"/>
  <c r="J46" i="22"/>
  <c r="M45" i="22"/>
  <c r="P45" i="22" s="1"/>
  <c r="L45" i="22"/>
  <c r="K45" i="22"/>
  <c r="J45" i="22"/>
  <c r="M44" i="22"/>
  <c r="L44" i="22"/>
  <c r="K44" i="22"/>
  <c r="J44" i="22"/>
  <c r="M43" i="22"/>
  <c r="O43" i="22" s="1"/>
  <c r="L43" i="22"/>
  <c r="K43" i="22"/>
  <c r="J43" i="22"/>
  <c r="M42" i="22"/>
  <c r="L42" i="22"/>
  <c r="K42" i="22"/>
  <c r="J42" i="22"/>
  <c r="M41" i="22"/>
  <c r="O41" i="22" s="1"/>
  <c r="L41" i="22"/>
  <c r="K41" i="22"/>
  <c r="J41" i="22"/>
  <c r="M40" i="22"/>
  <c r="P40" i="22" s="1"/>
  <c r="L40" i="22"/>
  <c r="K40" i="22"/>
  <c r="J40" i="22"/>
  <c r="M39" i="22"/>
  <c r="L39" i="22"/>
  <c r="K39" i="22"/>
  <c r="J39" i="22"/>
  <c r="M38" i="22"/>
  <c r="P38" i="22" s="1"/>
  <c r="L38" i="22"/>
  <c r="K38" i="22"/>
  <c r="J38" i="22"/>
  <c r="M37" i="22"/>
  <c r="P37" i="22" s="1"/>
  <c r="L37" i="22"/>
  <c r="K37" i="22"/>
  <c r="J37" i="22"/>
  <c r="M36" i="22"/>
  <c r="L36" i="22"/>
  <c r="K36" i="22"/>
  <c r="J36" i="22"/>
  <c r="M35" i="22"/>
  <c r="O35" i="22" s="1"/>
  <c r="L35" i="22"/>
  <c r="K35" i="22"/>
  <c r="J35" i="22"/>
  <c r="M34" i="22"/>
  <c r="L34" i="22"/>
  <c r="K34" i="22"/>
  <c r="J34" i="22"/>
  <c r="O33" i="22"/>
  <c r="M33" i="22"/>
  <c r="P33" i="22" s="1"/>
  <c r="L33" i="22"/>
  <c r="K33" i="22"/>
  <c r="J33" i="22"/>
  <c r="M32" i="22"/>
  <c r="P32" i="22" s="1"/>
  <c r="L32" i="22"/>
  <c r="K32" i="22"/>
  <c r="J32" i="22"/>
  <c r="M31" i="22"/>
  <c r="L31" i="22"/>
  <c r="K31" i="22"/>
  <c r="J31" i="22"/>
  <c r="M30" i="22"/>
  <c r="O30" i="22" s="1"/>
  <c r="L30" i="22"/>
  <c r="K30" i="22"/>
  <c r="J30" i="22"/>
  <c r="M29" i="22"/>
  <c r="P29" i="22" s="1"/>
  <c r="L29" i="22"/>
  <c r="K29" i="22"/>
  <c r="J29" i="22"/>
  <c r="M28" i="22"/>
  <c r="L28" i="22"/>
  <c r="K28" i="22"/>
  <c r="J28" i="22"/>
  <c r="M27" i="22"/>
  <c r="O27" i="22" s="1"/>
  <c r="L27" i="22"/>
  <c r="K27" i="22"/>
  <c r="J27" i="22"/>
  <c r="M26" i="22"/>
  <c r="L26" i="22"/>
  <c r="K26" i="22"/>
  <c r="J26" i="22"/>
  <c r="M25" i="22"/>
  <c r="O25" i="22" s="1"/>
  <c r="L25" i="22"/>
  <c r="K25" i="22"/>
  <c r="J25" i="22"/>
  <c r="M24" i="22"/>
  <c r="P24" i="22" s="1"/>
  <c r="L24" i="22"/>
  <c r="Q24" i="22" s="1"/>
  <c r="K24" i="22"/>
  <c r="J24" i="22"/>
  <c r="M23" i="22"/>
  <c r="L23" i="22"/>
  <c r="K23" i="22"/>
  <c r="J23" i="22"/>
  <c r="M22" i="22"/>
  <c r="P22" i="22" s="1"/>
  <c r="L22" i="22"/>
  <c r="K22" i="22"/>
  <c r="J22" i="22"/>
  <c r="M21" i="22"/>
  <c r="L21" i="22"/>
  <c r="K21" i="22"/>
  <c r="J21" i="22"/>
  <c r="M20" i="22"/>
  <c r="L20" i="22"/>
  <c r="K20" i="22"/>
  <c r="J20" i="22"/>
  <c r="M19" i="22"/>
  <c r="O19" i="22" s="1"/>
  <c r="L19" i="22"/>
  <c r="K19" i="22"/>
  <c r="J19" i="22"/>
  <c r="M18" i="22"/>
  <c r="L18" i="22"/>
  <c r="K18" i="22"/>
  <c r="J18" i="22"/>
  <c r="M17" i="22"/>
  <c r="P17" i="22" s="1"/>
  <c r="L17" i="22"/>
  <c r="K17" i="22"/>
  <c r="J17" i="22"/>
  <c r="M16" i="22"/>
  <c r="P16" i="22" s="1"/>
  <c r="L16" i="22"/>
  <c r="K16" i="22"/>
  <c r="J16" i="22"/>
  <c r="M15" i="22"/>
  <c r="L15" i="22"/>
  <c r="K15" i="22"/>
  <c r="J15" i="22"/>
  <c r="M14" i="22"/>
  <c r="O14" i="22" s="1"/>
  <c r="L14" i="22"/>
  <c r="K14" i="22"/>
  <c r="J14" i="22"/>
  <c r="M13" i="22"/>
  <c r="P13" i="22" s="1"/>
  <c r="L13" i="22"/>
  <c r="K13" i="22"/>
  <c r="J13" i="22"/>
  <c r="M49" i="21"/>
  <c r="L49" i="21"/>
  <c r="K49" i="21"/>
  <c r="J49" i="21"/>
  <c r="M48" i="21"/>
  <c r="P48" i="21" s="1"/>
  <c r="L48" i="21"/>
  <c r="K48" i="21"/>
  <c r="J48" i="21"/>
  <c r="M47" i="21"/>
  <c r="L47" i="21"/>
  <c r="K47" i="21"/>
  <c r="J47" i="21"/>
  <c r="M46" i="21"/>
  <c r="O46" i="21" s="1"/>
  <c r="L46" i="21"/>
  <c r="K46" i="21"/>
  <c r="J46" i="21"/>
  <c r="M45" i="21"/>
  <c r="P45" i="21" s="1"/>
  <c r="L45" i="21"/>
  <c r="K45" i="21"/>
  <c r="J45" i="21"/>
  <c r="M44" i="21"/>
  <c r="L44" i="21"/>
  <c r="K44" i="21"/>
  <c r="J44" i="21"/>
  <c r="M43" i="21"/>
  <c r="O43" i="21" s="1"/>
  <c r="L43" i="21"/>
  <c r="K43" i="21"/>
  <c r="J43" i="21"/>
  <c r="M42" i="21"/>
  <c r="L42" i="21"/>
  <c r="K42" i="21"/>
  <c r="J42" i="21"/>
  <c r="M41" i="21"/>
  <c r="P41" i="21" s="1"/>
  <c r="L41" i="21"/>
  <c r="K41" i="21"/>
  <c r="J41" i="21"/>
  <c r="M40" i="21"/>
  <c r="P40" i="21" s="1"/>
  <c r="L40" i="21"/>
  <c r="K40" i="21"/>
  <c r="J40" i="21"/>
  <c r="M39" i="21"/>
  <c r="L39" i="21"/>
  <c r="K39" i="21"/>
  <c r="J39" i="21"/>
  <c r="M38" i="21"/>
  <c r="O38" i="21" s="1"/>
  <c r="L38" i="21"/>
  <c r="K38" i="21"/>
  <c r="J38" i="21"/>
  <c r="M37" i="21"/>
  <c r="O37" i="21" s="1"/>
  <c r="L37" i="21"/>
  <c r="K37" i="21"/>
  <c r="J37" i="21"/>
  <c r="M36" i="21"/>
  <c r="L36" i="21"/>
  <c r="K36" i="21"/>
  <c r="J36" i="21"/>
  <c r="M35" i="21"/>
  <c r="O35" i="21" s="1"/>
  <c r="L35" i="21"/>
  <c r="K35" i="21"/>
  <c r="J35" i="21"/>
  <c r="M34" i="21"/>
  <c r="L34" i="21"/>
  <c r="K34" i="21"/>
  <c r="J34" i="21"/>
  <c r="M33" i="21"/>
  <c r="L33" i="21"/>
  <c r="K33" i="21"/>
  <c r="J33" i="21"/>
  <c r="M32" i="21"/>
  <c r="P32" i="21" s="1"/>
  <c r="L32" i="21"/>
  <c r="K32" i="21"/>
  <c r="J32" i="21"/>
  <c r="M31" i="21"/>
  <c r="L31" i="21"/>
  <c r="K31" i="21"/>
  <c r="J31" i="21"/>
  <c r="M30" i="21"/>
  <c r="O30" i="21" s="1"/>
  <c r="L30" i="21"/>
  <c r="K30" i="21"/>
  <c r="J30" i="21"/>
  <c r="M29" i="21"/>
  <c r="O29" i="21" s="1"/>
  <c r="L29" i="21"/>
  <c r="K29" i="21"/>
  <c r="J29" i="21"/>
  <c r="M28" i="21"/>
  <c r="L28" i="21"/>
  <c r="K28" i="21"/>
  <c r="J28" i="21"/>
  <c r="M27" i="21"/>
  <c r="O27" i="21" s="1"/>
  <c r="L27" i="21"/>
  <c r="K27" i="21"/>
  <c r="J27" i="21"/>
  <c r="M26" i="21"/>
  <c r="L26" i="21"/>
  <c r="K26" i="21"/>
  <c r="J26" i="21"/>
  <c r="M25" i="21"/>
  <c r="L25" i="21"/>
  <c r="K25" i="21"/>
  <c r="J25" i="21"/>
  <c r="M24" i="21"/>
  <c r="P24" i="21" s="1"/>
  <c r="L24" i="21"/>
  <c r="K24" i="21"/>
  <c r="J24" i="21"/>
  <c r="M23" i="21"/>
  <c r="L23" i="21"/>
  <c r="K23" i="21"/>
  <c r="J23" i="21"/>
  <c r="M22" i="21"/>
  <c r="O22" i="21" s="1"/>
  <c r="L22" i="21"/>
  <c r="K22" i="21"/>
  <c r="J22" i="21"/>
  <c r="M21" i="21"/>
  <c r="O21" i="21" s="1"/>
  <c r="L21" i="21"/>
  <c r="K21" i="21"/>
  <c r="J21" i="21"/>
  <c r="M20" i="21"/>
  <c r="L20" i="21"/>
  <c r="K20" i="21"/>
  <c r="J20" i="21"/>
  <c r="M19" i="21"/>
  <c r="O19" i="21" s="1"/>
  <c r="L19" i="21"/>
  <c r="K19" i="21"/>
  <c r="J19" i="21"/>
  <c r="M18" i="21"/>
  <c r="L18" i="21"/>
  <c r="K18" i="21"/>
  <c r="J18" i="21"/>
  <c r="M17" i="21"/>
  <c r="O17" i="21" s="1"/>
  <c r="L17" i="21"/>
  <c r="K17" i="21"/>
  <c r="J17" i="21"/>
  <c r="M16" i="21"/>
  <c r="P16" i="21" s="1"/>
  <c r="L16" i="21"/>
  <c r="K16" i="21"/>
  <c r="J16" i="21"/>
  <c r="M15" i="21"/>
  <c r="L15" i="21"/>
  <c r="K15" i="21"/>
  <c r="J15" i="21"/>
  <c r="M14" i="21"/>
  <c r="P14" i="21" s="1"/>
  <c r="L14" i="21"/>
  <c r="K14" i="21"/>
  <c r="J14" i="21"/>
  <c r="M13" i="21"/>
  <c r="O13" i="21" s="1"/>
  <c r="L13" i="21"/>
  <c r="K13" i="21"/>
  <c r="J13" i="21"/>
  <c r="M49" i="20"/>
  <c r="L49" i="20"/>
  <c r="K49" i="20"/>
  <c r="J49" i="20"/>
  <c r="M48" i="20"/>
  <c r="L48" i="20"/>
  <c r="Q48" i="20" s="1"/>
  <c r="K48" i="20"/>
  <c r="J48" i="20"/>
  <c r="M47" i="20"/>
  <c r="L47" i="20"/>
  <c r="K47" i="20"/>
  <c r="J47" i="20"/>
  <c r="M46" i="20"/>
  <c r="P46" i="20" s="1"/>
  <c r="L46" i="20"/>
  <c r="K46" i="20"/>
  <c r="J46" i="20"/>
  <c r="M45" i="20"/>
  <c r="L45" i="20"/>
  <c r="K45" i="20"/>
  <c r="J45" i="20"/>
  <c r="M44" i="20"/>
  <c r="L44" i="20"/>
  <c r="K44" i="20"/>
  <c r="J44" i="20"/>
  <c r="M43" i="20"/>
  <c r="O43" i="20" s="1"/>
  <c r="L43" i="20"/>
  <c r="K43" i="20"/>
  <c r="J43" i="20"/>
  <c r="M42" i="20"/>
  <c r="L42" i="20"/>
  <c r="K42" i="20"/>
  <c r="J42" i="20"/>
  <c r="M41" i="20"/>
  <c r="L41" i="20"/>
  <c r="K41" i="20"/>
  <c r="J41" i="20"/>
  <c r="M40" i="20"/>
  <c r="L40" i="20"/>
  <c r="K40" i="20"/>
  <c r="J40" i="20"/>
  <c r="M39" i="20"/>
  <c r="L39" i="20"/>
  <c r="K39" i="20"/>
  <c r="J39" i="20"/>
  <c r="M38" i="20"/>
  <c r="O38" i="20" s="1"/>
  <c r="L38" i="20"/>
  <c r="K38" i="20"/>
  <c r="J38" i="20"/>
  <c r="M37" i="20"/>
  <c r="L37" i="20"/>
  <c r="K37" i="20"/>
  <c r="J37" i="20"/>
  <c r="M36" i="20"/>
  <c r="L36" i="20"/>
  <c r="K36" i="20"/>
  <c r="J36" i="20"/>
  <c r="M35" i="20"/>
  <c r="O35" i="20" s="1"/>
  <c r="L35" i="20"/>
  <c r="K35" i="20"/>
  <c r="J35" i="20"/>
  <c r="M34" i="20"/>
  <c r="L34" i="20"/>
  <c r="K34" i="20"/>
  <c r="J34" i="20"/>
  <c r="M33" i="20"/>
  <c r="L33" i="20"/>
  <c r="K33" i="20"/>
  <c r="J33" i="20"/>
  <c r="M32" i="20"/>
  <c r="O32" i="20" s="1"/>
  <c r="L32" i="20"/>
  <c r="K32" i="20"/>
  <c r="J32" i="20"/>
  <c r="M31" i="20"/>
  <c r="L31" i="20"/>
  <c r="K31" i="20"/>
  <c r="J31" i="20"/>
  <c r="M30" i="20"/>
  <c r="P30" i="20" s="1"/>
  <c r="L30" i="20"/>
  <c r="K30" i="20"/>
  <c r="J30" i="20"/>
  <c r="M29" i="20"/>
  <c r="L29" i="20"/>
  <c r="K29" i="20"/>
  <c r="J29" i="20"/>
  <c r="M28" i="20"/>
  <c r="L28" i="20"/>
  <c r="K28" i="20"/>
  <c r="J28" i="20"/>
  <c r="M27" i="20"/>
  <c r="O27" i="20" s="1"/>
  <c r="L27" i="20"/>
  <c r="K27" i="20"/>
  <c r="J27" i="20"/>
  <c r="M26" i="20"/>
  <c r="L26" i="20"/>
  <c r="K26" i="20"/>
  <c r="J26" i="20"/>
  <c r="M25" i="20"/>
  <c r="L25" i="20"/>
  <c r="K25" i="20"/>
  <c r="J25" i="20"/>
  <c r="M24" i="20"/>
  <c r="P24" i="20" s="1"/>
  <c r="L24" i="20"/>
  <c r="K24" i="20"/>
  <c r="J24" i="20"/>
  <c r="M23" i="20"/>
  <c r="L23" i="20"/>
  <c r="K23" i="20"/>
  <c r="J23" i="20"/>
  <c r="M22" i="20"/>
  <c r="L22" i="20"/>
  <c r="K22" i="20"/>
  <c r="J22" i="20"/>
  <c r="M21" i="20"/>
  <c r="P21" i="20" s="1"/>
  <c r="L21" i="20"/>
  <c r="K21" i="20"/>
  <c r="J21" i="20"/>
  <c r="M20" i="20"/>
  <c r="L20" i="20"/>
  <c r="K20" i="20"/>
  <c r="J20" i="20"/>
  <c r="M19" i="20"/>
  <c r="O19" i="20" s="1"/>
  <c r="L19" i="20"/>
  <c r="K19" i="20"/>
  <c r="J19" i="20"/>
  <c r="M18" i="20"/>
  <c r="L18" i="20"/>
  <c r="K18" i="20"/>
  <c r="J18" i="20"/>
  <c r="M17" i="20"/>
  <c r="L17" i="20"/>
  <c r="K17" i="20"/>
  <c r="J17" i="20"/>
  <c r="M16" i="20"/>
  <c r="L16" i="20"/>
  <c r="K16" i="20"/>
  <c r="J16" i="20"/>
  <c r="M15" i="20"/>
  <c r="L15" i="20"/>
  <c r="K15" i="20"/>
  <c r="J15" i="20"/>
  <c r="M14" i="20"/>
  <c r="L14" i="20"/>
  <c r="K14" i="20"/>
  <c r="J14" i="20"/>
  <c r="M13" i="20"/>
  <c r="L13" i="20"/>
  <c r="K13" i="20"/>
  <c r="J13" i="20"/>
  <c r="M49" i="19"/>
  <c r="L49" i="19"/>
  <c r="Q49" i="19" s="1"/>
  <c r="K49" i="19"/>
  <c r="J49" i="19"/>
  <c r="M48" i="19"/>
  <c r="P48" i="19" s="1"/>
  <c r="L48" i="19"/>
  <c r="K48" i="19"/>
  <c r="J48" i="19"/>
  <c r="M47" i="19"/>
  <c r="L47" i="19"/>
  <c r="K47" i="19"/>
  <c r="J47" i="19"/>
  <c r="M46" i="19"/>
  <c r="L46" i="19"/>
  <c r="K46" i="19"/>
  <c r="J46" i="19"/>
  <c r="M45" i="19"/>
  <c r="L45" i="19"/>
  <c r="K45" i="19"/>
  <c r="J45" i="19"/>
  <c r="M44" i="19"/>
  <c r="L44" i="19"/>
  <c r="K44" i="19"/>
  <c r="J44" i="19"/>
  <c r="M43" i="19"/>
  <c r="O43" i="19" s="1"/>
  <c r="L43" i="19"/>
  <c r="K43" i="19"/>
  <c r="J43" i="19"/>
  <c r="M42" i="19"/>
  <c r="L42" i="19"/>
  <c r="K42" i="19"/>
  <c r="J42" i="19"/>
  <c r="M41" i="19"/>
  <c r="O41" i="19" s="1"/>
  <c r="L41" i="19"/>
  <c r="K41" i="19"/>
  <c r="J41" i="19"/>
  <c r="M40" i="19"/>
  <c r="L40" i="19"/>
  <c r="K40" i="19"/>
  <c r="J40" i="19"/>
  <c r="M39" i="19"/>
  <c r="L39" i="19"/>
  <c r="K39" i="19"/>
  <c r="J39" i="19"/>
  <c r="M38" i="19"/>
  <c r="P38" i="19" s="1"/>
  <c r="L38" i="19"/>
  <c r="K38" i="19"/>
  <c r="J38" i="19"/>
  <c r="M37" i="19"/>
  <c r="L37" i="19"/>
  <c r="K37" i="19"/>
  <c r="J37" i="19"/>
  <c r="M36" i="19"/>
  <c r="L36" i="19"/>
  <c r="K36" i="19"/>
  <c r="J36" i="19"/>
  <c r="M35" i="19"/>
  <c r="L35" i="19"/>
  <c r="K35" i="19"/>
  <c r="J35" i="19"/>
  <c r="M34" i="19"/>
  <c r="L34" i="19"/>
  <c r="K34" i="19"/>
  <c r="J34" i="19"/>
  <c r="M33" i="19"/>
  <c r="L33" i="19"/>
  <c r="K33" i="19"/>
  <c r="J33" i="19"/>
  <c r="M32" i="19"/>
  <c r="L32" i="19"/>
  <c r="K32" i="19"/>
  <c r="J32" i="19"/>
  <c r="M31" i="19"/>
  <c r="L31" i="19"/>
  <c r="K31" i="19"/>
  <c r="J31" i="19"/>
  <c r="M30" i="19"/>
  <c r="O30" i="19" s="1"/>
  <c r="L30" i="19"/>
  <c r="K30" i="19"/>
  <c r="J30" i="19"/>
  <c r="M29" i="19"/>
  <c r="L29" i="19"/>
  <c r="K29" i="19"/>
  <c r="J29" i="19"/>
  <c r="M28" i="19"/>
  <c r="L28" i="19"/>
  <c r="K28" i="19"/>
  <c r="J28" i="19"/>
  <c r="M27" i="19"/>
  <c r="P27" i="19" s="1"/>
  <c r="L27" i="19"/>
  <c r="K27" i="19"/>
  <c r="J27" i="19"/>
  <c r="M26" i="19"/>
  <c r="L26" i="19"/>
  <c r="K26" i="19"/>
  <c r="J26" i="19"/>
  <c r="M25" i="19"/>
  <c r="L25" i="19"/>
  <c r="K25" i="19"/>
  <c r="J25" i="19"/>
  <c r="M24" i="19"/>
  <c r="P24" i="19" s="1"/>
  <c r="L24" i="19"/>
  <c r="K24" i="19"/>
  <c r="J24" i="19"/>
  <c r="M23" i="19"/>
  <c r="L23" i="19"/>
  <c r="K23" i="19"/>
  <c r="J23" i="19"/>
  <c r="M22" i="19"/>
  <c r="L22" i="19"/>
  <c r="K22" i="19"/>
  <c r="J22" i="19"/>
  <c r="M21" i="19"/>
  <c r="L21" i="19"/>
  <c r="K21" i="19"/>
  <c r="J21" i="19"/>
  <c r="M20" i="19"/>
  <c r="O20" i="19" s="1"/>
  <c r="L20" i="19"/>
  <c r="K20" i="19"/>
  <c r="J20" i="19"/>
  <c r="M19" i="19"/>
  <c r="L19" i="19"/>
  <c r="K19" i="19"/>
  <c r="J19" i="19"/>
  <c r="M18" i="19"/>
  <c r="L18" i="19"/>
  <c r="K18" i="19"/>
  <c r="J18" i="19"/>
  <c r="M17" i="19"/>
  <c r="L17" i="19"/>
  <c r="K17" i="19"/>
  <c r="J17" i="19"/>
  <c r="M16" i="19"/>
  <c r="L16" i="19"/>
  <c r="K16" i="19"/>
  <c r="J16" i="19"/>
  <c r="M15" i="19"/>
  <c r="L15" i="19"/>
  <c r="K15" i="19"/>
  <c r="J15" i="19"/>
  <c r="M14" i="19"/>
  <c r="O14" i="19" s="1"/>
  <c r="L14" i="19"/>
  <c r="K14" i="19"/>
  <c r="J14" i="19"/>
  <c r="M13" i="19"/>
  <c r="L13" i="19"/>
  <c r="K13" i="19"/>
  <c r="J13" i="19"/>
  <c r="M49" i="17"/>
  <c r="L49" i="17"/>
  <c r="K49" i="17"/>
  <c r="J49" i="17"/>
  <c r="M48" i="17"/>
  <c r="L48" i="17"/>
  <c r="Q48" i="17" s="1"/>
  <c r="K48" i="17"/>
  <c r="J48" i="17"/>
  <c r="M47" i="17"/>
  <c r="L47" i="17"/>
  <c r="K47" i="17"/>
  <c r="J47" i="17"/>
  <c r="M46" i="17"/>
  <c r="P46" i="17" s="1"/>
  <c r="L46" i="17"/>
  <c r="K46" i="17"/>
  <c r="J46" i="17"/>
  <c r="M45" i="17"/>
  <c r="L45" i="17"/>
  <c r="K45" i="17"/>
  <c r="J45" i="17"/>
  <c r="M44" i="17"/>
  <c r="L44" i="17"/>
  <c r="K44" i="17"/>
  <c r="J44" i="17"/>
  <c r="M43" i="17"/>
  <c r="L43" i="17"/>
  <c r="K43" i="17"/>
  <c r="J43" i="17"/>
  <c r="M42" i="17"/>
  <c r="L42" i="17"/>
  <c r="K42" i="17"/>
  <c r="J42" i="17"/>
  <c r="M41" i="17"/>
  <c r="Q41" i="17" s="1"/>
  <c r="L41" i="17"/>
  <c r="K41" i="17"/>
  <c r="J41" i="17"/>
  <c r="M40" i="17"/>
  <c r="P40" i="17" s="1"/>
  <c r="L40" i="17"/>
  <c r="K40" i="17"/>
  <c r="J40" i="17"/>
  <c r="M39" i="17"/>
  <c r="L39" i="17"/>
  <c r="K39" i="17"/>
  <c r="J39" i="17"/>
  <c r="M38" i="17"/>
  <c r="P38" i="17" s="1"/>
  <c r="L38" i="17"/>
  <c r="K38" i="17"/>
  <c r="J38" i="17"/>
  <c r="M37" i="17"/>
  <c r="L37" i="17"/>
  <c r="K37" i="17"/>
  <c r="J37" i="17"/>
  <c r="M36" i="17"/>
  <c r="L36" i="17"/>
  <c r="K36" i="17"/>
  <c r="J36" i="17"/>
  <c r="M35" i="17"/>
  <c r="L35" i="17"/>
  <c r="K35" i="17"/>
  <c r="J35" i="17"/>
  <c r="M34" i="17"/>
  <c r="L34" i="17"/>
  <c r="K34" i="17"/>
  <c r="J34" i="17"/>
  <c r="M33" i="17"/>
  <c r="L33" i="17"/>
  <c r="K33" i="17"/>
  <c r="J33" i="17"/>
  <c r="M32" i="17"/>
  <c r="P32" i="17" s="1"/>
  <c r="L32" i="17"/>
  <c r="K32" i="17"/>
  <c r="J32" i="17"/>
  <c r="M31" i="17"/>
  <c r="L31" i="17"/>
  <c r="K31" i="17"/>
  <c r="J31" i="17"/>
  <c r="M30" i="17"/>
  <c r="P30" i="17" s="1"/>
  <c r="L30" i="17"/>
  <c r="K30" i="17"/>
  <c r="J30" i="17"/>
  <c r="M29" i="17"/>
  <c r="L29" i="17"/>
  <c r="K29" i="17"/>
  <c r="J29" i="17"/>
  <c r="M28" i="17"/>
  <c r="L28" i="17"/>
  <c r="K28" i="17"/>
  <c r="J28" i="17"/>
  <c r="M27" i="17"/>
  <c r="O27" i="17" s="1"/>
  <c r="L27" i="17"/>
  <c r="K27" i="17"/>
  <c r="J27" i="17"/>
  <c r="M26" i="17"/>
  <c r="L26" i="17"/>
  <c r="K26" i="17"/>
  <c r="J26" i="17"/>
  <c r="P25" i="17"/>
  <c r="M25" i="17"/>
  <c r="L25" i="17"/>
  <c r="K25" i="17"/>
  <c r="J25" i="17"/>
  <c r="M24" i="17"/>
  <c r="L24" i="17"/>
  <c r="K24" i="17"/>
  <c r="J24" i="17"/>
  <c r="M23" i="17"/>
  <c r="L23" i="17"/>
  <c r="K23" i="17"/>
  <c r="J23" i="17"/>
  <c r="M22" i="17"/>
  <c r="O22" i="17" s="1"/>
  <c r="L22" i="17"/>
  <c r="K22" i="17"/>
  <c r="J22" i="17"/>
  <c r="M21" i="17"/>
  <c r="L21" i="17"/>
  <c r="K21" i="17"/>
  <c r="J21" i="17"/>
  <c r="M20" i="17"/>
  <c r="L20" i="17"/>
  <c r="K20" i="17"/>
  <c r="J20" i="17"/>
  <c r="M19" i="17"/>
  <c r="O19" i="17" s="1"/>
  <c r="L19" i="17"/>
  <c r="K19" i="17"/>
  <c r="J19" i="17"/>
  <c r="M18" i="17"/>
  <c r="L18" i="17"/>
  <c r="K18" i="17"/>
  <c r="J18" i="17"/>
  <c r="M17" i="17"/>
  <c r="L17" i="17"/>
  <c r="K17" i="17"/>
  <c r="J17" i="17"/>
  <c r="M16" i="17"/>
  <c r="L16" i="17"/>
  <c r="K16" i="17"/>
  <c r="J16" i="17"/>
  <c r="M15" i="17"/>
  <c r="L15" i="17"/>
  <c r="K15" i="17"/>
  <c r="J15" i="17"/>
  <c r="M14" i="17"/>
  <c r="P14" i="17" s="1"/>
  <c r="L14" i="17"/>
  <c r="Q14" i="17" s="1"/>
  <c r="K14" i="17"/>
  <c r="J14" i="17"/>
  <c r="M13" i="17"/>
  <c r="L13" i="17"/>
  <c r="K13" i="17"/>
  <c r="J13" i="17"/>
  <c r="M49" i="16"/>
  <c r="L49" i="16"/>
  <c r="K49" i="16"/>
  <c r="J49" i="16"/>
  <c r="M48" i="16"/>
  <c r="P48" i="16" s="1"/>
  <c r="L48" i="16"/>
  <c r="K48" i="16"/>
  <c r="J48" i="16"/>
  <c r="M47" i="16"/>
  <c r="L47" i="16"/>
  <c r="K47" i="16"/>
  <c r="J47" i="16"/>
  <c r="M46" i="16"/>
  <c r="L46" i="16"/>
  <c r="K46" i="16"/>
  <c r="J46" i="16"/>
  <c r="M45" i="16"/>
  <c r="L45" i="16"/>
  <c r="K45" i="16"/>
  <c r="J45" i="16"/>
  <c r="M44" i="16"/>
  <c r="L44" i="16"/>
  <c r="K44" i="16"/>
  <c r="J44" i="16"/>
  <c r="M43" i="16"/>
  <c r="O43" i="16" s="1"/>
  <c r="L43" i="16"/>
  <c r="K43" i="16"/>
  <c r="J43" i="16"/>
  <c r="M42" i="16"/>
  <c r="L42" i="16"/>
  <c r="K42" i="16"/>
  <c r="J42" i="16"/>
  <c r="M41" i="16"/>
  <c r="O41" i="16" s="1"/>
  <c r="L41" i="16"/>
  <c r="K41" i="16"/>
  <c r="J41" i="16"/>
  <c r="M40" i="16"/>
  <c r="P40" i="16" s="1"/>
  <c r="L40" i="16"/>
  <c r="K40" i="16"/>
  <c r="J40" i="16"/>
  <c r="M39" i="16"/>
  <c r="L39" i="16"/>
  <c r="K39" i="16"/>
  <c r="J39" i="16"/>
  <c r="M38" i="16"/>
  <c r="L38" i="16"/>
  <c r="K38" i="16"/>
  <c r="J38" i="16"/>
  <c r="M37" i="16"/>
  <c r="L37" i="16"/>
  <c r="K37" i="16"/>
  <c r="J37" i="16"/>
  <c r="M36" i="16"/>
  <c r="L36" i="16"/>
  <c r="K36" i="16"/>
  <c r="J36" i="16"/>
  <c r="M35" i="16"/>
  <c r="O35" i="16" s="1"/>
  <c r="L35" i="16"/>
  <c r="K35" i="16"/>
  <c r="J35" i="16"/>
  <c r="M34" i="16"/>
  <c r="L34" i="16"/>
  <c r="K34" i="16"/>
  <c r="J34" i="16"/>
  <c r="M33" i="16"/>
  <c r="L33" i="16"/>
  <c r="K33" i="16"/>
  <c r="J33" i="16"/>
  <c r="M32" i="16"/>
  <c r="P32" i="16" s="1"/>
  <c r="L32" i="16"/>
  <c r="K32" i="16"/>
  <c r="J32" i="16"/>
  <c r="M31" i="16"/>
  <c r="L31" i="16"/>
  <c r="K31" i="16"/>
  <c r="J31" i="16"/>
  <c r="M30" i="16"/>
  <c r="O30" i="16" s="1"/>
  <c r="L30" i="16"/>
  <c r="K30" i="16"/>
  <c r="J30" i="16"/>
  <c r="M29" i="16"/>
  <c r="L29" i="16"/>
  <c r="K29" i="16"/>
  <c r="J29" i="16"/>
  <c r="M28" i="16"/>
  <c r="L28" i="16"/>
  <c r="K28" i="16"/>
  <c r="J28" i="16"/>
  <c r="M27" i="16"/>
  <c r="O27" i="16" s="1"/>
  <c r="L27" i="16"/>
  <c r="K27" i="16"/>
  <c r="J27" i="16"/>
  <c r="M26" i="16"/>
  <c r="L26" i="16"/>
  <c r="K26" i="16"/>
  <c r="J26" i="16"/>
  <c r="M25" i="16"/>
  <c r="L25" i="16"/>
  <c r="K25" i="16"/>
  <c r="J25" i="16"/>
  <c r="M24" i="16"/>
  <c r="P24" i="16" s="1"/>
  <c r="L24" i="16"/>
  <c r="Q24" i="16" s="1"/>
  <c r="K24" i="16"/>
  <c r="J24" i="16"/>
  <c r="M23" i="16"/>
  <c r="L23" i="16"/>
  <c r="K23" i="16"/>
  <c r="J23" i="16"/>
  <c r="M22" i="16"/>
  <c r="L22" i="16"/>
  <c r="K22" i="16"/>
  <c r="J22" i="16"/>
  <c r="M21" i="16"/>
  <c r="L21" i="16"/>
  <c r="K21" i="16"/>
  <c r="J21" i="16"/>
  <c r="M20" i="16"/>
  <c r="L20" i="16"/>
  <c r="K20" i="16"/>
  <c r="J20" i="16"/>
  <c r="M19" i="16"/>
  <c r="O19" i="16" s="1"/>
  <c r="L19" i="16"/>
  <c r="K19" i="16"/>
  <c r="J19" i="16"/>
  <c r="M18" i="16"/>
  <c r="L18" i="16"/>
  <c r="K18" i="16"/>
  <c r="J18" i="16"/>
  <c r="M17" i="16"/>
  <c r="L17" i="16"/>
  <c r="Q17" i="16" s="1"/>
  <c r="K17" i="16"/>
  <c r="J17" i="16"/>
  <c r="M16" i="16"/>
  <c r="P16" i="16" s="1"/>
  <c r="L16" i="16"/>
  <c r="K16" i="16"/>
  <c r="J16" i="16"/>
  <c r="M15" i="16"/>
  <c r="L15" i="16"/>
  <c r="K15" i="16"/>
  <c r="J15" i="16"/>
  <c r="M14" i="16"/>
  <c r="L14" i="16"/>
  <c r="K14" i="16"/>
  <c r="J14" i="16"/>
  <c r="M13" i="16"/>
  <c r="O13" i="16" s="1"/>
  <c r="L13" i="16"/>
  <c r="K13" i="16"/>
  <c r="J13" i="16"/>
  <c r="M49" i="15"/>
  <c r="L49" i="15"/>
  <c r="K49" i="15"/>
  <c r="J49" i="15"/>
  <c r="M48" i="15"/>
  <c r="L48" i="15"/>
  <c r="K48" i="15"/>
  <c r="J48" i="15"/>
  <c r="M47" i="15"/>
  <c r="L47" i="15"/>
  <c r="K47" i="15"/>
  <c r="J47" i="15"/>
  <c r="M46" i="15"/>
  <c r="O46" i="15" s="1"/>
  <c r="L46" i="15"/>
  <c r="K46" i="15"/>
  <c r="J46" i="15"/>
  <c r="M45" i="15"/>
  <c r="L45" i="15"/>
  <c r="K45" i="15"/>
  <c r="J45" i="15"/>
  <c r="M44" i="15"/>
  <c r="L44" i="15"/>
  <c r="K44" i="15"/>
  <c r="J44" i="15"/>
  <c r="M43" i="15"/>
  <c r="L43" i="15"/>
  <c r="K43" i="15"/>
  <c r="J43" i="15"/>
  <c r="M42" i="15"/>
  <c r="L42" i="15"/>
  <c r="K42" i="15"/>
  <c r="J42" i="15"/>
  <c r="M41" i="15"/>
  <c r="P41" i="15" s="1"/>
  <c r="L41" i="15"/>
  <c r="K41" i="15"/>
  <c r="J41" i="15"/>
  <c r="M40" i="15"/>
  <c r="L40" i="15"/>
  <c r="K40" i="15"/>
  <c r="J40" i="15"/>
  <c r="M39" i="15"/>
  <c r="L39" i="15"/>
  <c r="K39" i="15"/>
  <c r="J39" i="15"/>
  <c r="M38" i="15"/>
  <c r="P38" i="15" s="1"/>
  <c r="L38" i="15"/>
  <c r="K38" i="15"/>
  <c r="J38" i="15"/>
  <c r="M37" i="15"/>
  <c r="P37" i="15" s="1"/>
  <c r="L37" i="15"/>
  <c r="K37" i="15"/>
  <c r="J37" i="15"/>
  <c r="M36" i="15"/>
  <c r="L36" i="15"/>
  <c r="K36" i="15"/>
  <c r="J36" i="15"/>
  <c r="M35" i="15"/>
  <c r="P35" i="15" s="1"/>
  <c r="L35" i="15"/>
  <c r="K35" i="15"/>
  <c r="J35" i="15"/>
  <c r="M34" i="15"/>
  <c r="L34" i="15"/>
  <c r="K34" i="15"/>
  <c r="J34" i="15"/>
  <c r="M33" i="15"/>
  <c r="P33" i="15" s="1"/>
  <c r="L33" i="15"/>
  <c r="K33" i="15"/>
  <c r="J33" i="15"/>
  <c r="M32" i="15"/>
  <c r="P32" i="15" s="1"/>
  <c r="L32" i="15"/>
  <c r="K32" i="15"/>
  <c r="J32" i="15"/>
  <c r="M31" i="15"/>
  <c r="L31" i="15"/>
  <c r="K31" i="15"/>
  <c r="J31" i="15"/>
  <c r="M30" i="15"/>
  <c r="P30" i="15" s="1"/>
  <c r="L30" i="15"/>
  <c r="K30" i="15"/>
  <c r="J30" i="15"/>
  <c r="M29" i="15"/>
  <c r="L29" i="15"/>
  <c r="K29" i="15"/>
  <c r="J29" i="15"/>
  <c r="M28" i="15"/>
  <c r="L28" i="15"/>
  <c r="K28" i="15"/>
  <c r="J28" i="15"/>
  <c r="M27" i="15"/>
  <c r="L27" i="15"/>
  <c r="K27" i="15"/>
  <c r="J27" i="15"/>
  <c r="M26" i="15"/>
  <c r="L26" i="15"/>
  <c r="K26" i="15"/>
  <c r="J26" i="15"/>
  <c r="M25" i="15"/>
  <c r="P25" i="15" s="1"/>
  <c r="L25" i="15"/>
  <c r="K25" i="15"/>
  <c r="J25" i="15"/>
  <c r="M24" i="15"/>
  <c r="L24" i="15"/>
  <c r="K24" i="15"/>
  <c r="J24" i="15"/>
  <c r="M23" i="15"/>
  <c r="L23" i="15"/>
  <c r="K23" i="15"/>
  <c r="J23" i="15"/>
  <c r="M22" i="15"/>
  <c r="L22" i="15"/>
  <c r="K22" i="15"/>
  <c r="J22" i="15"/>
  <c r="M21" i="15"/>
  <c r="L21" i="15"/>
  <c r="K21" i="15"/>
  <c r="J21" i="15"/>
  <c r="M20" i="15"/>
  <c r="L20" i="15"/>
  <c r="K20" i="15"/>
  <c r="J20" i="15"/>
  <c r="O19" i="15"/>
  <c r="M19" i="15"/>
  <c r="L19" i="15"/>
  <c r="K19" i="15"/>
  <c r="J19" i="15"/>
  <c r="M18" i="15"/>
  <c r="L18" i="15"/>
  <c r="K18" i="15"/>
  <c r="J18" i="15"/>
  <c r="M17" i="15"/>
  <c r="L17" i="15"/>
  <c r="K17" i="15"/>
  <c r="J17" i="15"/>
  <c r="M16" i="15"/>
  <c r="L16" i="15"/>
  <c r="K16" i="15"/>
  <c r="J16" i="15"/>
  <c r="M15" i="15"/>
  <c r="L15" i="15"/>
  <c r="K15" i="15"/>
  <c r="J15" i="15"/>
  <c r="M14" i="15"/>
  <c r="L14" i="15"/>
  <c r="K14" i="15"/>
  <c r="J14" i="15"/>
  <c r="M13" i="15"/>
  <c r="L13" i="15"/>
  <c r="K13" i="15"/>
  <c r="J13" i="15"/>
  <c r="B11" i="26"/>
  <c r="B3" i="26"/>
  <c r="B5" i="26"/>
  <c r="B12" i="26"/>
  <c r="B4" i="26"/>
  <c r="B7" i="26"/>
  <c r="B10" i="26"/>
  <c r="B8" i="26"/>
  <c r="B13" i="26"/>
  <c r="B9" i="26"/>
  <c r="B2" i="26"/>
  <c r="B6" i="26"/>
  <c r="O16" i="22" l="1"/>
  <c r="Q30" i="23"/>
  <c r="Q30" i="24"/>
  <c r="P43" i="24"/>
  <c r="Q17" i="24"/>
  <c r="Q41" i="24"/>
  <c r="Q22" i="25"/>
  <c r="O49" i="20"/>
  <c r="P17" i="20"/>
  <c r="P49" i="20"/>
  <c r="Q38" i="20"/>
  <c r="Q27" i="19"/>
  <c r="Q35" i="19"/>
  <c r="Q33" i="19"/>
  <c r="Q37" i="16"/>
  <c r="Q45" i="16"/>
  <c r="O25" i="16"/>
  <c r="O27" i="15"/>
  <c r="P27" i="15"/>
  <c r="Q34" i="21"/>
  <c r="Q22" i="22"/>
  <c r="O22" i="22"/>
  <c r="Q40" i="22"/>
  <c r="O49" i="22"/>
  <c r="P25" i="24"/>
  <c r="P30" i="24"/>
  <c r="O38" i="25"/>
  <c r="Q38" i="25"/>
  <c r="P37" i="20"/>
  <c r="O30" i="20"/>
  <c r="O33" i="20"/>
  <c r="P38" i="20"/>
  <c r="O38" i="19"/>
  <c r="P49" i="19"/>
  <c r="P35" i="19"/>
  <c r="O25" i="17"/>
  <c r="Q43" i="17"/>
  <c r="P49" i="16"/>
  <c r="Q49" i="16"/>
  <c r="Q22" i="15"/>
  <c r="Q29" i="15"/>
  <c r="Q35" i="15"/>
  <c r="Q41" i="15"/>
  <c r="Q45" i="21"/>
  <c r="Q24" i="21"/>
  <c r="O41" i="21"/>
  <c r="O16" i="21"/>
  <c r="Q16" i="21"/>
  <c r="P35" i="21"/>
  <c r="P49" i="21"/>
  <c r="O49" i="21"/>
  <c r="O40" i="21"/>
  <c r="P27" i="21"/>
  <c r="P46" i="21"/>
  <c r="O33" i="21"/>
  <c r="P17" i="21"/>
  <c r="Q23" i="21"/>
  <c r="P19" i="22"/>
  <c r="O48" i="22"/>
  <c r="Q21" i="22"/>
  <c r="Q38" i="22"/>
  <c r="O38" i="22"/>
  <c r="P25" i="23"/>
  <c r="P46" i="23"/>
  <c r="P13" i="23"/>
  <c r="O38" i="23"/>
  <c r="O40" i="23"/>
  <c r="Q40" i="23"/>
  <c r="P45" i="23"/>
  <c r="Q24" i="23"/>
  <c r="O41" i="23"/>
  <c r="O24" i="23"/>
  <c r="P41" i="23"/>
  <c r="Q46" i="23"/>
  <c r="P17" i="24"/>
  <c r="O16" i="24"/>
  <c r="Q21" i="24"/>
  <c r="Q29" i="24"/>
  <c r="Q24" i="24"/>
  <c r="O17" i="24"/>
  <c r="Q16" i="24"/>
  <c r="P38" i="24"/>
  <c r="Q28" i="25"/>
  <c r="O30" i="25"/>
  <c r="O41" i="25"/>
  <c r="P41" i="25"/>
  <c r="Q45" i="25"/>
  <c r="O22" i="25"/>
  <c r="Q32" i="25"/>
  <c r="Q44" i="25"/>
  <c r="P32" i="20"/>
  <c r="P41" i="20"/>
  <c r="P48" i="20"/>
  <c r="Q45" i="20"/>
  <c r="P13" i="20"/>
  <c r="O24" i="20"/>
  <c r="Q30" i="20"/>
  <c r="O46" i="20"/>
  <c r="Q46" i="20"/>
  <c r="P17" i="19"/>
  <c r="Q48" i="19"/>
  <c r="O46" i="19"/>
  <c r="Q24" i="19"/>
  <c r="Q29" i="19"/>
  <c r="O17" i="19"/>
  <c r="Q14" i="19"/>
  <c r="Q16" i="19"/>
  <c r="O40" i="17"/>
  <c r="P22" i="17"/>
  <c r="O46" i="17"/>
  <c r="P29" i="17"/>
  <c r="Q46" i="17"/>
  <c r="Q33" i="17"/>
  <c r="Q40" i="17"/>
  <c r="Q35" i="17"/>
  <c r="P13" i="17"/>
  <c r="O22" i="16"/>
  <c r="O29" i="16"/>
  <c r="O24" i="16"/>
  <c r="O33" i="16"/>
  <c r="P33" i="16"/>
  <c r="O16" i="16"/>
  <c r="P27" i="16"/>
  <c r="Q16" i="16"/>
  <c r="Q27" i="16"/>
  <c r="Q21" i="15"/>
  <c r="P48" i="15"/>
  <c r="O25" i="15"/>
  <c r="O33" i="15"/>
  <c r="Q14" i="15"/>
  <c r="P16" i="15"/>
  <c r="P24" i="15"/>
  <c r="Q27" i="15"/>
  <c r="Q33" i="15"/>
  <c r="P19" i="21"/>
  <c r="O25" i="21"/>
  <c r="O32" i="21"/>
  <c r="P33" i="21"/>
  <c r="Q40" i="21"/>
  <c r="P42" i="21"/>
  <c r="O48" i="21"/>
  <c r="O14" i="21"/>
  <c r="Q15" i="21"/>
  <c r="O24" i="21"/>
  <c r="P25" i="21"/>
  <c r="Q26" i="21"/>
  <c r="Q32" i="21"/>
  <c r="Q39" i="21"/>
  <c r="Q18" i="21"/>
  <c r="Q31" i="21"/>
  <c r="Q42" i="21"/>
  <c r="P21" i="22"/>
  <c r="P25" i="22"/>
  <c r="Q27" i="22"/>
  <c r="O32" i="22"/>
  <c r="P41" i="22"/>
  <c r="Q43" i="22"/>
  <c r="O17" i="22"/>
  <c r="P35" i="22"/>
  <c r="Q37" i="22"/>
  <c r="P49" i="22"/>
  <c r="O16" i="23"/>
  <c r="Q22" i="23"/>
  <c r="P27" i="23"/>
  <c r="P43" i="23"/>
  <c r="P22" i="23"/>
  <c r="Q27" i="23"/>
  <c r="P30" i="23"/>
  <c r="Q43" i="23"/>
  <c r="P14" i="24"/>
  <c r="P22" i="24"/>
  <c r="Q37" i="24"/>
  <c r="Q38" i="24"/>
  <c r="P41" i="24"/>
  <c r="Q14" i="24"/>
  <c r="Q22" i="24"/>
  <c r="O24" i="24"/>
  <c r="Q33" i="24"/>
  <c r="Q40" i="24"/>
  <c r="O14" i="24"/>
  <c r="O22" i="24"/>
  <c r="Q32" i="24"/>
  <c r="P33" i="24"/>
  <c r="Q19" i="25"/>
  <c r="P30" i="25"/>
  <c r="O33" i="25"/>
  <c r="Q40" i="25"/>
  <c r="Q41" i="25"/>
  <c r="P43" i="25"/>
  <c r="Q30" i="25"/>
  <c r="P33" i="25"/>
  <c r="Q43" i="25"/>
  <c r="O14" i="25"/>
  <c r="Q16" i="20"/>
  <c r="Q32" i="20"/>
  <c r="P35" i="20"/>
  <c r="P45" i="20"/>
  <c r="P27" i="20"/>
  <c r="Q29" i="20"/>
  <c r="Q35" i="20"/>
  <c r="P16" i="20"/>
  <c r="O17" i="20"/>
  <c r="Q19" i="20"/>
  <c r="P29" i="20"/>
  <c r="P14" i="19"/>
  <c r="O22" i="19"/>
  <c r="Q17" i="19"/>
  <c r="P22" i="19"/>
  <c r="Q25" i="19"/>
  <c r="P30" i="19"/>
  <c r="Q43" i="19"/>
  <c r="P46" i="19"/>
  <c r="P25" i="19"/>
  <c r="O24" i="17"/>
  <c r="O49" i="17"/>
  <c r="P27" i="17"/>
  <c r="P41" i="17"/>
  <c r="Q21" i="17"/>
  <c r="Q22" i="17"/>
  <c r="P24" i="17"/>
  <c r="Q27" i="17"/>
  <c r="O32" i="17"/>
  <c r="O48" i="17"/>
  <c r="Q24" i="17"/>
  <c r="P48" i="17"/>
  <c r="O48" i="16"/>
  <c r="Q48" i="16"/>
  <c r="O14" i="16"/>
  <c r="P14" i="16"/>
  <c r="P19" i="16"/>
  <c r="P22" i="16"/>
  <c r="P25" i="16"/>
  <c r="O37" i="16"/>
  <c r="Q38" i="16"/>
  <c r="O46" i="16"/>
  <c r="O49" i="16"/>
  <c r="Q14" i="16"/>
  <c r="Q19" i="16"/>
  <c r="P46" i="16"/>
  <c r="O16" i="15"/>
  <c r="P19" i="15"/>
  <c r="O24" i="15"/>
  <c r="P29" i="15"/>
  <c r="Q30" i="15"/>
  <c r="Q32" i="15"/>
  <c r="O22" i="15"/>
  <c r="Q24" i="15"/>
  <c r="O30" i="15"/>
  <c r="Q38" i="15"/>
  <c r="Q40" i="15"/>
  <c r="O48" i="15"/>
  <c r="P22" i="15"/>
  <c r="Q13" i="15"/>
  <c r="O14" i="15"/>
  <c r="P21" i="15"/>
  <c r="O40" i="15"/>
  <c r="J50" i="15"/>
  <c r="P13" i="15"/>
  <c r="P14" i="15"/>
  <c r="Q16" i="15"/>
  <c r="P17" i="15"/>
  <c r="Q19" i="15"/>
  <c r="Q25" i="15"/>
  <c r="O32" i="15"/>
  <c r="O35" i="15"/>
  <c r="Q37" i="15"/>
  <c r="O38" i="15"/>
  <c r="P40" i="15"/>
  <c r="O41" i="15"/>
  <c r="P43" i="15"/>
  <c r="P45" i="15"/>
  <c r="P46" i="15"/>
  <c r="Q48" i="15"/>
  <c r="P49" i="15"/>
  <c r="O17" i="16"/>
  <c r="O21" i="16"/>
  <c r="Q22" i="16"/>
  <c r="Q25" i="16"/>
  <c r="Q29" i="16"/>
  <c r="P30" i="16"/>
  <c r="Q32" i="16"/>
  <c r="Q33" i="16"/>
  <c r="Q35" i="16"/>
  <c r="O38" i="16"/>
  <c r="O40" i="16"/>
  <c r="P41" i="16"/>
  <c r="P43" i="16"/>
  <c r="Q46" i="16"/>
  <c r="Q13" i="17"/>
  <c r="O14" i="17"/>
  <c r="P16" i="17"/>
  <c r="O17" i="17"/>
  <c r="Q19" i="17"/>
  <c r="Q29" i="17"/>
  <c r="O30" i="17"/>
  <c r="Q32" i="17"/>
  <c r="Q37" i="17"/>
  <c r="P37" i="17"/>
  <c r="Q38" i="17"/>
  <c r="O43" i="17"/>
  <c r="P43" i="17"/>
  <c r="P49" i="17"/>
  <c r="Q13" i="19"/>
  <c r="P16" i="19"/>
  <c r="P19" i="19"/>
  <c r="Q30" i="19"/>
  <c r="O35" i="19"/>
  <c r="P41" i="19"/>
  <c r="Q41" i="19"/>
  <c r="Q45" i="19"/>
  <c r="Q17" i="15"/>
  <c r="Q43" i="15"/>
  <c r="Q46" i="15"/>
  <c r="Q49" i="15"/>
  <c r="P17" i="16"/>
  <c r="Q30" i="16"/>
  <c r="P38" i="16"/>
  <c r="Q40" i="16"/>
  <c r="Q41" i="16"/>
  <c r="Q43" i="16"/>
  <c r="J50" i="17"/>
  <c r="Q16" i="17"/>
  <c r="P17" i="17"/>
  <c r="Q30" i="17"/>
  <c r="O35" i="17"/>
  <c r="P35" i="17"/>
  <c r="O41" i="17"/>
  <c r="O25" i="19"/>
  <c r="O27" i="19"/>
  <c r="P32" i="19"/>
  <c r="Q32" i="19"/>
  <c r="P33" i="19"/>
  <c r="O25" i="20"/>
  <c r="P25" i="20"/>
  <c r="O33" i="17"/>
  <c r="Q45" i="17"/>
  <c r="Q21" i="19"/>
  <c r="Q22" i="19"/>
  <c r="Q38" i="19"/>
  <c r="O17" i="15"/>
  <c r="O43" i="15"/>
  <c r="Q45" i="15"/>
  <c r="O49" i="15"/>
  <c r="O32" i="16"/>
  <c r="P35" i="16"/>
  <c r="O45" i="16"/>
  <c r="O16" i="17"/>
  <c r="P19" i="17"/>
  <c r="P21" i="17"/>
  <c r="P33" i="17"/>
  <c r="O38" i="17"/>
  <c r="P45" i="17"/>
  <c r="O19" i="19"/>
  <c r="Q19" i="19"/>
  <c r="O33" i="19"/>
  <c r="P40" i="19"/>
  <c r="Q40" i="19"/>
  <c r="O22" i="20"/>
  <c r="Q22" i="20"/>
  <c r="P22" i="20"/>
  <c r="J50" i="19"/>
  <c r="Q37" i="19"/>
  <c r="P43" i="19"/>
  <c r="O49" i="19"/>
  <c r="O16" i="20"/>
  <c r="P19" i="20"/>
  <c r="Q24" i="20"/>
  <c r="Q37" i="20"/>
  <c r="P40" i="20"/>
  <c r="O41" i="20"/>
  <c r="Q43" i="20"/>
  <c r="O48" i="20"/>
  <c r="Q17" i="21"/>
  <c r="P18" i="21"/>
  <c r="P21" i="21"/>
  <c r="P22" i="21"/>
  <c r="Q25" i="21"/>
  <c r="P26" i="21"/>
  <c r="P29" i="21"/>
  <c r="P30" i="21"/>
  <c r="Q33" i="21"/>
  <c r="P34" i="21"/>
  <c r="P37" i="21"/>
  <c r="P38" i="21"/>
  <c r="Q41" i="21"/>
  <c r="O45" i="21"/>
  <c r="Q47" i="21"/>
  <c r="Q49" i="21"/>
  <c r="J50" i="22"/>
  <c r="P14" i="22"/>
  <c r="O24" i="22"/>
  <c r="P27" i="22"/>
  <c r="P30" i="22"/>
  <c r="O40" i="22"/>
  <c r="P43" i="22"/>
  <c r="P46" i="22"/>
  <c r="J50" i="23"/>
  <c r="Q14" i="23"/>
  <c r="P16" i="23"/>
  <c r="Q16" i="23"/>
  <c r="O17" i="23"/>
  <c r="O22" i="23"/>
  <c r="O33" i="23"/>
  <c r="P33" i="23"/>
  <c r="P48" i="23"/>
  <c r="O48" i="23"/>
  <c r="Q48" i="23"/>
  <c r="Q40" i="20"/>
  <c r="Q13" i="21"/>
  <c r="Q21" i="21"/>
  <c r="Q29" i="21"/>
  <c r="Q37" i="21"/>
  <c r="Q14" i="22"/>
  <c r="Q30" i="22"/>
  <c r="Q46" i="22"/>
  <c r="P48" i="22"/>
  <c r="Q21" i="23"/>
  <c r="O35" i="23"/>
  <c r="P35" i="23"/>
  <c r="Q35" i="23"/>
  <c r="O49" i="23"/>
  <c r="Q49" i="23"/>
  <c r="P49" i="23"/>
  <c r="O19" i="23"/>
  <c r="Q19" i="23"/>
  <c r="P32" i="23"/>
  <c r="O32" i="23"/>
  <c r="Q32" i="23"/>
  <c r="Q37" i="23"/>
  <c r="P37" i="23"/>
  <c r="Q46" i="19"/>
  <c r="Q21" i="20"/>
  <c r="Q27" i="20"/>
  <c r="P33" i="20"/>
  <c r="O40" i="20"/>
  <c r="P43" i="20"/>
  <c r="J50" i="21"/>
  <c r="P13" i="21"/>
  <c r="P43" i="21"/>
  <c r="Q48" i="21"/>
  <c r="Q13" i="22"/>
  <c r="Q16" i="22"/>
  <c r="Q19" i="22"/>
  <c r="Q29" i="22"/>
  <c r="Q32" i="22"/>
  <c r="Q35" i="22"/>
  <c r="Q45" i="22"/>
  <c r="Q48" i="22"/>
  <c r="Q49" i="22"/>
  <c r="P14" i="23"/>
  <c r="P19" i="23"/>
  <c r="Q13" i="23"/>
  <c r="Q29" i="23"/>
  <c r="Q38" i="23"/>
  <c r="Q45" i="23"/>
  <c r="Q19" i="24"/>
  <c r="Q27" i="24"/>
  <c r="O30" i="24"/>
  <c r="O32" i="24"/>
  <c r="Q35" i="24"/>
  <c r="O38" i="24"/>
  <c r="O40" i="24"/>
  <c r="O41" i="24"/>
  <c r="Q45" i="24"/>
  <c r="P46" i="24"/>
  <c r="Q48" i="24"/>
  <c r="P49" i="24"/>
  <c r="J50" i="25"/>
  <c r="Q14" i="25"/>
  <c r="P17" i="25"/>
  <c r="P19" i="25"/>
  <c r="Q25" i="25"/>
  <c r="Q27" i="25"/>
  <c r="Q35" i="25"/>
  <c r="O46" i="25"/>
  <c r="O49" i="25"/>
  <c r="Q46" i="24"/>
  <c r="Q49" i="24"/>
  <c r="Q17" i="25"/>
  <c r="P46" i="25"/>
  <c r="Q48" i="25"/>
  <c r="P49" i="25"/>
  <c r="Q29" i="25"/>
  <c r="Q37" i="25"/>
  <c r="Q46" i="25"/>
  <c r="Q49" i="25"/>
  <c r="J50" i="24"/>
  <c r="P19" i="24"/>
  <c r="P27" i="24"/>
  <c r="P35" i="24"/>
  <c r="Q43" i="24"/>
  <c r="O48" i="24"/>
  <c r="O49" i="24"/>
  <c r="Q13" i="25"/>
  <c r="Q16" i="25"/>
  <c r="Q21" i="25"/>
  <c r="P22" i="25"/>
  <c r="Q24" i="25"/>
  <c r="P27" i="25"/>
  <c r="P35" i="25"/>
  <c r="Q13" i="24"/>
  <c r="Q14" i="20"/>
  <c r="P14" i="20"/>
  <c r="O14" i="20"/>
  <c r="J50" i="20"/>
  <c r="Q13" i="20"/>
  <c r="B15" i="26"/>
  <c r="O20" i="25"/>
  <c r="P20" i="25"/>
  <c r="P28" i="25"/>
  <c r="O31" i="25"/>
  <c r="P36" i="25"/>
  <c r="P15" i="25"/>
  <c r="Q20" i="25"/>
  <c r="P39" i="25"/>
  <c r="O42" i="25"/>
  <c r="O13" i="25"/>
  <c r="Q15" i="25"/>
  <c r="P18" i="25"/>
  <c r="O21" i="25"/>
  <c r="Q23" i="25"/>
  <c r="P26" i="25"/>
  <c r="O29" i="25"/>
  <c r="Q31" i="25"/>
  <c r="P34" i="25"/>
  <c r="O37" i="25"/>
  <c r="Q39" i="25"/>
  <c r="P42" i="25"/>
  <c r="O45" i="25"/>
  <c r="Q47" i="25"/>
  <c r="O28" i="25"/>
  <c r="O44" i="25"/>
  <c r="O15" i="25"/>
  <c r="O39" i="25"/>
  <c r="O18" i="25"/>
  <c r="P23" i="25"/>
  <c r="O26" i="25"/>
  <c r="P31" i="25"/>
  <c r="Q36" i="25"/>
  <c r="P13" i="25"/>
  <c r="O16" i="25"/>
  <c r="Q18" i="25"/>
  <c r="P21" i="25"/>
  <c r="O24" i="25"/>
  <c r="Q26" i="25"/>
  <c r="P29" i="25"/>
  <c r="O32" i="25"/>
  <c r="Q34" i="25"/>
  <c r="P37" i="25"/>
  <c r="O40" i="25"/>
  <c r="Q42" i="25"/>
  <c r="P45" i="25"/>
  <c r="O48" i="25"/>
  <c r="O23" i="25"/>
  <c r="P44" i="25"/>
  <c r="O47" i="25"/>
  <c r="O34" i="25"/>
  <c r="P47" i="25"/>
  <c r="P20" i="24"/>
  <c r="O23" i="24"/>
  <c r="P28" i="24"/>
  <c r="O31" i="24"/>
  <c r="P36" i="24"/>
  <c r="O39" i="24"/>
  <c r="P44" i="24"/>
  <c r="O47" i="24"/>
  <c r="P15" i="24"/>
  <c r="O18" i="24"/>
  <c r="Q20" i="24"/>
  <c r="P23" i="24"/>
  <c r="O26" i="24"/>
  <c r="Q28" i="24"/>
  <c r="P31" i="24"/>
  <c r="O34" i="24"/>
  <c r="Q36" i="24"/>
  <c r="P39" i="24"/>
  <c r="O42" i="24"/>
  <c r="Q44" i="24"/>
  <c r="P47" i="24"/>
  <c r="O20" i="24"/>
  <c r="O36" i="24"/>
  <c r="O29" i="24"/>
  <c r="Q31" i="24"/>
  <c r="P34" i="24"/>
  <c r="P13" i="24"/>
  <c r="Q18" i="24"/>
  <c r="P21" i="24"/>
  <c r="Q26" i="24"/>
  <c r="P29" i="24"/>
  <c r="Q34" i="24"/>
  <c r="P37" i="24"/>
  <c r="Q42" i="24"/>
  <c r="P45" i="24"/>
  <c r="O44" i="24"/>
  <c r="O15" i="24"/>
  <c r="O13" i="24"/>
  <c r="Q15" i="24"/>
  <c r="P18" i="24"/>
  <c r="O21" i="24"/>
  <c r="Q23" i="24"/>
  <c r="P26" i="24"/>
  <c r="O37" i="24"/>
  <c r="Q39" i="24"/>
  <c r="P42" i="24"/>
  <c r="O45" i="24"/>
  <c r="Q47" i="24"/>
  <c r="O20" i="23"/>
  <c r="O15" i="23"/>
  <c r="O39" i="23"/>
  <c r="Q41" i="23"/>
  <c r="P44" i="23"/>
  <c r="P15" i="23"/>
  <c r="O18" i="23"/>
  <c r="Q20" i="23"/>
  <c r="P23" i="23"/>
  <c r="O26" i="23"/>
  <c r="Q28" i="23"/>
  <c r="P31" i="23"/>
  <c r="O34" i="23"/>
  <c r="Q36" i="23"/>
  <c r="P39" i="23"/>
  <c r="O42" i="23"/>
  <c r="Q44" i="23"/>
  <c r="P47" i="23"/>
  <c r="O28" i="23"/>
  <c r="O36" i="23"/>
  <c r="O44" i="23"/>
  <c r="Q17" i="23"/>
  <c r="P20" i="23"/>
  <c r="O23" i="23"/>
  <c r="Q25" i="23"/>
  <c r="P28" i="23"/>
  <c r="O31" i="23"/>
  <c r="Q33" i="23"/>
  <c r="P36" i="23"/>
  <c r="O47" i="23"/>
  <c r="O13" i="23"/>
  <c r="Q15" i="23"/>
  <c r="P18" i="23"/>
  <c r="O21" i="23"/>
  <c r="Q23" i="23"/>
  <c r="P26" i="23"/>
  <c r="O29" i="23"/>
  <c r="Q31" i="23"/>
  <c r="P34" i="23"/>
  <c r="O37" i="23"/>
  <c r="Q39" i="23"/>
  <c r="P42" i="23"/>
  <c r="O45" i="23"/>
  <c r="Q47" i="23"/>
  <c r="Q18" i="23"/>
  <c r="Q26" i="23"/>
  <c r="Q34" i="23"/>
  <c r="Q42" i="23"/>
  <c r="O36" i="22"/>
  <c r="O44" i="22"/>
  <c r="O15" i="22"/>
  <c r="O23" i="22"/>
  <c r="Q25" i="22"/>
  <c r="P28" i="22"/>
  <c r="O31" i="22"/>
  <c r="Q33" i="22"/>
  <c r="P36" i="22"/>
  <c r="O47" i="22"/>
  <c r="P15" i="22"/>
  <c r="O18" i="22"/>
  <c r="Q20" i="22"/>
  <c r="P23" i="22"/>
  <c r="O26" i="22"/>
  <c r="Q28" i="22"/>
  <c r="P31" i="22"/>
  <c r="O34" i="22"/>
  <c r="Q36" i="22"/>
  <c r="P39" i="22"/>
  <c r="O42" i="22"/>
  <c r="Q44" i="22"/>
  <c r="P47" i="22"/>
  <c r="O20" i="22"/>
  <c r="O28" i="22"/>
  <c r="Q17" i="22"/>
  <c r="P20" i="22"/>
  <c r="O39" i="22"/>
  <c r="Q41" i="22"/>
  <c r="P44" i="22"/>
  <c r="O13" i="22"/>
  <c r="Q15" i="22"/>
  <c r="P18" i="22"/>
  <c r="O21" i="22"/>
  <c r="Q23" i="22"/>
  <c r="P26" i="22"/>
  <c r="O29" i="22"/>
  <c r="Q31" i="22"/>
  <c r="P34" i="22"/>
  <c r="O37" i="22"/>
  <c r="Q39" i="22"/>
  <c r="P42" i="22"/>
  <c r="O45" i="22"/>
  <c r="Q47" i="22"/>
  <c r="Q18" i="22"/>
  <c r="Q26" i="22"/>
  <c r="Q34" i="22"/>
  <c r="Q42" i="22"/>
  <c r="Q27" i="21"/>
  <c r="Q35" i="21"/>
  <c r="Q43" i="21"/>
  <c r="O20" i="21"/>
  <c r="Q22" i="21"/>
  <c r="O44" i="21"/>
  <c r="Q46" i="21"/>
  <c r="O15" i="21"/>
  <c r="P20" i="21"/>
  <c r="O23" i="21"/>
  <c r="P28" i="21"/>
  <c r="O31" i="21"/>
  <c r="P36" i="21"/>
  <c r="O39" i="21"/>
  <c r="P44" i="21"/>
  <c r="O47" i="21"/>
  <c r="Q19" i="21"/>
  <c r="Q14" i="21"/>
  <c r="O28" i="21"/>
  <c r="Q30" i="21"/>
  <c r="O36" i="21"/>
  <c r="Q38" i="21"/>
  <c r="P15" i="21"/>
  <c r="O18" i="21"/>
  <c r="Q20" i="21"/>
  <c r="P23" i="21"/>
  <c r="O26" i="21"/>
  <c r="Q28" i="21"/>
  <c r="P31" i="21"/>
  <c r="O34" i="21"/>
  <c r="Q36" i="21"/>
  <c r="P39" i="21"/>
  <c r="O42" i="21"/>
  <c r="Q44" i="21"/>
  <c r="P47" i="21"/>
  <c r="O28" i="20"/>
  <c r="O15" i="20"/>
  <c r="Q17" i="20"/>
  <c r="P20" i="20"/>
  <c r="O23" i="20"/>
  <c r="Q25" i="20"/>
  <c r="P28" i="20"/>
  <c r="Q41" i="20"/>
  <c r="P44" i="20"/>
  <c r="O47" i="20"/>
  <c r="Q49" i="20"/>
  <c r="P15" i="20"/>
  <c r="O18" i="20"/>
  <c r="Q20" i="20"/>
  <c r="P23" i="20"/>
  <c r="O26" i="20"/>
  <c r="Q28" i="20"/>
  <c r="P31" i="20"/>
  <c r="O34" i="20"/>
  <c r="Q36" i="20"/>
  <c r="P39" i="20"/>
  <c r="O42" i="20"/>
  <c r="Q44" i="20"/>
  <c r="P47" i="20"/>
  <c r="O36" i="20"/>
  <c r="O44" i="20"/>
  <c r="O31" i="20"/>
  <c r="Q33" i="20"/>
  <c r="P36" i="20"/>
  <c r="O39" i="20"/>
  <c r="O13" i="20"/>
  <c r="Q15" i="20"/>
  <c r="P18" i="20"/>
  <c r="O21" i="20"/>
  <c r="Q23" i="20"/>
  <c r="P26" i="20"/>
  <c r="O29" i="20"/>
  <c r="Q31" i="20"/>
  <c r="P34" i="20"/>
  <c r="O37" i="20"/>
  <c r="Q39" i="20"/>
  <c r="P42" i="20"/>
  <c r="O45" i="20"/>
  <c r="Q47" i="20"/>
  <c r="O20" i="20"/>
  <c r="Q18" i="20"/>
  <c r="Q26" i="20"/>
  <c r="Q34" i="20"/>
  <c r="Q42" i="20"/>
  <c r="O44" i="19"/>
  <c r="P20" i="19"/>
  <c r="P36" i="19"/>
  <c r="O39" i="19"/>
  <c r="P44" i="19"/>
  <c r="O47" i="19"/>
  <c r="P15" i="19"/>
  <c r="O18" i="19"/>
  <c r="Q20" i="19"/>
  <c r="P23" i="19"/>
  <c r="O26" i="19"/>
  <c r="Q28" i="19"/>
  <c r="P31" i="19"/>
  <c r="O34" i="19"/>
  <c r="Q36" i="19"/>
  <c r="P39" i="19"/>
  <c r="O42" i="19"/>
  <c r="Q44" i="19"/>
  <c r="P47" i="19"/>
  <c r="O28" i="19"/>
  <c r="O36" i="19"/>
  <c r="O23" i="19"/>
  <c r="P28" i="19"/>
  <c r="O31" i="19"/>
  <c r="O13" i="19"/>
  <c r="Q15" i="19"/>
  <c r="P18" i="19"/>
  <c r="O21" i="19"/>
  <c r="Q23" i="19"/>
  <c r="P26" i="19"/>
  <c r="O37" i="19"/>
  <c r="Q39" i="19"/>
  <c r="P42" i="19"/>
  <c r="O45" i="19"/>
  <c r="Q47" i="19"/>
  <c r="P13" i="19"/>
  <c r="O16" i="19"/>
  <c r="Q18" i="19"/>
  <c r="P21" i="19"/>
  <c r="O24" i="19"/>
  <c r="Q26" i="19"/>
  <c r="P29" i="19"/>
  <c r="O32" i="19"/>
  <c r="Q34" i="19"/>
  <c r="P37" i="19"/>
  <c r="O40" i="19"/>
  <c r="Q42" i="19"/>
  <c r="P45" i="19"/>
  <c r="O48" i="19"/>
  <c r="O15" i="19"/>
  <c r="O29" i="19"/>
  <c r="Q31" i="19"/>
  <c r="P34" i="19"/>
  <c r="O44" i="17"/>
  <c r="Q17" i="17"/>
  <c r="P20" i="17"/>
  <c r="P36" i="17"/>
  <c r="O39" i="17"/>
  <c r="P44" i="17"/>
  <c r="O47" i="17"/>
  <c r="Q49" i="17"/>
  <c r="P15" i="17"/>
  <c r="O18" i="17"/>
  <c r="Q20" i="17"/>
  <c r="P23" i="17"/>
  <c r="O26" i="17"/>
  <c r="Q28" i="17"/>
  <c r="P31" i="17"/>
  <c r="O34" i="17"/>
  <c r="Q36" i="17"/>
  <c r="P39" i="17"/>
  <c r="O42" i="17"/>
  <c r="Q44" i="17"/>
  <c r="P47" i="17"/>
  <c r="O20" i="17"/>
  <c r="O28" i="17"/>
  <c r="O15" i="17"/>
  <c r="O23" i="17"/>
  <c r="Q25" i="17"/>
  <c r="P28" i="17"/>
  <c r="O31" i="17"/>
  <c r="O13" i="17"/>
  <c r="Q15" i="17"/>
  <c r="P18" i="17"/>
  <c r="O21" i="17"/>
  <c r="Q23" i="17"/>
  <c r="P26" i="17"/>
  <c r="O29" i="17"/>
  <c r="Q31" i="17"/>
  <c r="P34" i="17"/>
  <c r="O37" i="17"/>
  <c r="Q39" i="17"/>
  <c r="P42" i="17"/>
  <c r="O45" i="17"/>
  <c r="Q47" i="17"/>
  <c r="O36" i="17"/>
  <c r="Q18" i="17"/>
  <c r="Q26" i="17"/>
  <c r="Q34" i="17"/>
  <c r="Q42" i="17"/>
  <c r="Q39" i="16"/>
  <c r="P39" i="16"/>
  <c r="O39" i="16"/>
  <c r="J50" i="16"/>
  <c r="Q20" i="16"/>
  <c r="P20" i="16"/>
  <c r="Q44" i="16"/>
  <c r="P44" i="16"/>
  <c r="O44" i="16"/>
  <c r="Q36" i="16"/>
  <c r="P36" i="16"/>
  <c r="O36" i="16"/>
  <c r="O20" i="16"/>
  <c r="Q28" i="16"/>
  <c r="P28" i="16"/>
  <c r="O28" i="16"/>
  <c r="Q13" i="16"/>
  <c r="Q15" i="16"/>
  <c r="P15" i="16"/>
  <c r="O15" i="16"/>
  <c r="Q18" i="16"/>
  <c r="P18" i="16"/>
  <c r="O18" i="16"/>
  <c r="Q47" i="16"/>
  <c r="P47" i="16"/>
  <c r="O47" i="16"/>
  <c r="Q21" i="16"/>
  <c r="Q23" i="16"/>
  <c r="P23" i="16"/>
  <c r="O23" i="16"/>
  <c r="Q31" i="16"/>
  <c r="P31" i="16"/>
  <c r="O31" i="16"/>
  <c r="O26" i="16"/>
  <c r="O34" i="16"/>
  <c r="O42" i="16"/>
  <c r="P26" i="16"/>
  <c r="P34" i="16"/>
  <c r="P42" i="16"/>
  <c r="P13" i="16"/>
  <c r="P21" i="16"/>
  <c r="Q26" i="16"/>
  <c r="P29" i="16"/>
  <c r="Q34" i="16"/>
  <c r="P37" i="16"/>
  <c r="Q42" i="16"/>
  <c r="P45" i="16"/>
  <c r="O20" i="15"/>
  <c r="O28" i="15"/>
  <c r="O36" i="15"/>
  <c r="O44" i="15"/>
  <c r="O23" i="15"/>
  <c r="P28" i="15"/>
  <c r="O39" i="15"/>
  <c r="P44" i="15"/>
  <c r="O47" i="15"/>
  <c r="P15" i="15"/>
  <c r="O18" i="15"/>
  <c r="Q20" i="15"/>
  <c r="P23" i="15"/>
  <c r="O26" i="15"/>
  <c r="Q28" i="15"/>
  <c r="P31" i="15"/>
  <c r="O34" i="15"/>
  <c r="Q36" i="15"/>
  <c r="P39" i="15"/>
  <c r="O42" i="15"/>
  <c r="Q44" i="15"/>
  <c r="P47" i="15"/>
  <c r="O15" i="15"/>
  <c r="P20" i="15"/>
  <c r="O31" i="15"/>
  <c r="P36" i="15"/>
  <c r="O13" i="15"/>
  <c r="Q15" i="15"/>
  <c r="P18" i="15"/>
  <c r="O21" i="15"/>
  <c r="Q23" i="15"/>
  <c r="P26" i="15"/>
  <c r="O29" i="15"/>
  <c r="Q31" i="15"/>
  <c r="P34" i="15"/>
  <c r="O37" i="15"/>
  <c r="Q39" i="15"/>
  <c r="P42" i="15"/>
  <c r="O45" i="15"/>
  <c r="Q47" i="15"/>
  <c r="Q18" i="15"/>
  <c r="Q26" i="15"/>
  <c r="Q34" i="15"/>
  <c r="Q42" i="15"/>
  <c r="M13" i="14"/>
  <c r="L13" i="14"/>
  <c r="K13" i="14"/>
  <c r="J13" i="14"/>
  <c r="J50" i="14" s="1"/>
  <c r="J49" i="13"/>
  <c r="J48" i="13"/>
  <c r="J47" i="13"/>
  <c r="J46" i="13"/>
  <c r="J45" i="13"/>
  <c r="J44" i="13"/>
  <c r="J43" i="13"/>
  <c r="J42" i="13"/>
  <c r="J41" i="13"/>
  <c r="J40" i="13"/>
  <c r="J39" i="13"/>
  <c r="J38" i="13"/>
  <c r="J37" i="13"/>
  <c r="J36" i="13"/>
  <c r="J35" i="13"/>
  <c r="J34" i="13"/>
  <c r="J33" i="13"/>
  <c r="J32" i="13"/>
  <c r="J31" i="13"/>
  <c r="J30" i="13"/>
  <c r="J29" i="13"/>
  <c r="M13" i="13"/>
  <c r="N13" i="13" s="1"/>
  <c r="L13" i="13"/>
  <c r="K13" i="13"/>
  <c r="F3" i="26"/>
  <c r="F4" i="26"/>
  <c r="F7" i="26"/>
  <c r="F13" i="26"/>
  <c r="F11" i="26"/>
  <c r="F9" i="26"/>
  <c r="F8" i="26"/>
  <c r="F12" i="26"/>
  <c r="F6" i="26"/>
  <c r="F10" i="26"/>
  <c r="F5" i="26"/>
  <c r="E5" i="26" l="1"/>
  <c r="E11" i="26"/>
  <c r="E12" i="26"/>
  <c r="E6" i="26"/>
  <c r="E13" i="26"/>
  <c r="E4" i="26"/>
  <c r="E8" i="26"/>
  <c r="E10" i="26"/>
  <c r="E3" i="26"/>
  <c r="E7" i="26"/>
  <c r="E9" i="26"/>
  <c r="Q13" i="13"/>
  <c r="Q13" i="14"/>
  <c r="J50" i="13"/>
  <c r="O13" i="13"/>
  <c r="P13" i="14"/>
  <c r="O13" i="14"/>
  <c r="P13" i="13"/>
  <c r="F2" i="26"/>
  <c r="E2" i="26" l="1"/>
  <c r="E15" i="26" s="1"/>
  <c r="F15" i="26"/>
  <c r="D2" i="2" l="1"/>
  <c r="D3" i="2"/>
  <c r="D4" i="2"/>
  <c r="D5" i="2"/>
  <c r="D8" i="2"/>
  <c r="D9" i="2"/>
  <c r="D10" i="2"/>
  <c r="D11" i="2"/>
  <c r="D12" i="2"/>
  <c r="D1" i="2"/>
  <c r="D7" i="2" l="1"/>
  <c r="D6" i="2"/>
  <c r="R14" i="14" l="1"/>
  <c r="S14" i="14"/>
  <c r="R16" i="13"/>
  <c r="I16" i="13" s="1"/>
  <c r="S20" i="14"/>
  <c r="R29" i="13"/>
  <c r="R33" i="13"/>
  <c r="S36" i="13"/>
  <c r="S22" i="13"/>
  <c r="R26" i="14"/>
  <c r="S31" i="13"/>
  <c r="S27" i="14"/>
  <c r="S22" i="14"/>
  <c r="R24" i="13"/>
  <c r="I24" i="13" s="1"/>
  <c r="S27" i="13"/>
  <c r="S19" i="14"/>
  <c r="R19" i="14"/>
  <c r="I19" i="14" s="1"/>
  <c r="R40" i="13"/>
  <c r="R15" i="13"/>
  <c r="I15" i="13" s="1"/>
  <c r="S18" i="14"/>
  <c r="S29" i="14"/>
  <c r="S30" i="13"/>
  <c r="R38" i="14"/>
  <c r="S44" i="13"/>
  <c r="R23" i="13"/>
  <c r="I23" i="13" s="1"/>
  <c r="S17" i="14"/>
  <c r="S41" i="13"/>
  <c r="S31" i="14"/>
  <c r="R31" i="14"/>
  <c r="R21" i="13"/>
  <c r="I21" i="13" s="1"/>
  <c r="R20" i="14"/>
  <c r="R41" i="14"/>
  <c r="I41" i="14" s="1"/>
  <c r="S39" i="14"/>
  <c r="R25" i="14"/>
  <c r="R31" i="13"/>
  <c r="R49" i="14"/>
  <c r="R34" i="14"/>
  <c r="I34" i="14" s="1"/>
  <c r="S29" i="13"/>
  <c r="R24" i="19"/>
  <c r="I24" i="19" s="1"/>
  <c r="R46" i="16"/>
  <c r="I46" i="16" s="1"/>
  <c r="R45" i="24"/>
  <c r="I45" i="24" s="1"/>
  <c r="R42" i="23"/>
  <c r="I42" i="23" s="1"/>
  <c r="R37" i="17"/>
  <c r="I37" i="17" s="1"/>
  <c r="R29" i="15"/>
  <c r="I29" i="15" s="1"/>
  <c r="R32" i="19"/>
  <c r="I32" i="19" s="1"/>
  <c r="R49" i="20"/>
  <c r="I49" i="20" s="1"/>
  <c r="R45" i="22"/>
  <c r="I45" i="22" s="1"/>
  <c r="S43" i="17"/>
  <c r="S31" i="22"/>
  <c r="S48" i="23"/>
  <c r="S16" i="16"/>
  <c r="S25" i="22"/>
  <c r="R32" i="24"/>
  <c r="I32" i="24" s="1"/>
  <c r="S13" i="25"/>
  <c r="S41" i="20"/>
  <c r="S19" i="19"/>
  <c r="S37" i="17"/>
  <c r="S24" i="15"/>
  <c r="R25" i="16"/>
  <c r="I25" i="16" s="1"/>
  <c r="R34" i="24"/>
  <c r="I34" i="24" s="1"/>
  <c r="R17" i="16"/>
  <c r="I17" i="16" s="1"/>
  <c r="S45" i="25"/>
  <c r="R22" i="19"/>
  <c r="I22" i="19" s="1"/>
  <c r="R49" i="23"/>
  <c r="I49" i="23" s="1"/>
  <c r="R26" i="20"/>
  <c r="I26" i="20" s="1"/>
  <c r="R26" i="22"/>
  <c r="I26" i="22" s="1"/>
  <c r="R38" i="19"/>
  <c r="I38" i="19" s="1"/>
  <c r="R45" i="21"/>
  <c r="I45" i="21" s="1"/>
  <c r="S19" i="23"/>
  <c r="R43" i="19"/>
  <c r="I43" i="19" s="1"/>
  <c r="S27" i="15"/>
  <c r="S15" i="22"/>
  <c r="R29" i="23"/>
  <c r="I29" i="23" s="1"/>
  <c r="S21" i="25"/>
  <c r="S21" i="20"/>
  <c r="S22" i="19"/>
  <c r="R26" i="16"/>
  <c r="I26" i="16" s="1"/>
  <c r="R36" i="24"/>
  <c r="I36" i="24" s="1"/>
  <c r="R42" i="22"/>
  <c r="I42" i="22" s="1"/>
  <c r="R22" i="16"/>
  <c r="I22" i="16" s="1"/>
  <c r="R26" i="25"/>
  <c r="I26" i="25" s="1"/>
  <c r="R16" i="15"/>
  <c r="I16" i="15" s="1"/>
  <c r="R33" i="20"/>
  <c r="I33" i="20" s="1"/>
  <c r="R46" i="25"/>
  <c r="I46" i="25" s="1"/>
  <c r="S37" i="19"/>
  <c r="S47" i="21"/>
  <c r="S18" i="24"/>
  <c r="S32" i="20"/>
  <c r="R40" i="21"/>
  <c r="I40" i="21" s="1"/>
  <c r="R43" i="22"/>
  <c r="I43" i="22" s="1"/>
  <c r="R40" i="24"/>
  <c r="I40" i="24" s="1"/>
  <c r="S13" i="20"/>
  <c r="S41" i="19"/>
  <c r="R37" i="16"/>
  <c r="I37" i="16" s="1"/>
  <c r="S40" i="15"/>
  <c r="S32" i="16"/>
  <c r="S37" i="15"/>
  <c r="R49" i="25"/>
  <c r="I49" i="25" s="1"/>
  <c r="S44" i="19"/>
  <c r="S34" i="24"/>
  <c r="S26" i="20"/>
  <c r="S49" i="15"/>
  <c r="R21" i="17"/>
  <c r="I21" i="17" s="1"/>
  <c r="R35" i="19"/>
  <c r="I35" i="19" s="1"/>
  <c r="S40" i="16"/>
  <c r="S31" i="19"/>
  <c r="S41" i="15"/>
  <c r="R32" i="20"/>
  <c r="I32" i="20" s="1"/>
  <c r="S39" i="21"/>
  <c r="R19" i="23"/>
  <c r="I19" i="23" s="1"/>
  <c r="S19" i="22"/>
  <c r="R35" i="17"/>
  <c r="I35" i="17" s="1"/>
  <c r="S26" i="25"/>
  <c r="S29" i="25"/>
  <c r="S23" i="25"/>
  <c r="S16" i="15"/>
  <c r="S23" i="17"/>
  <c r="R14" i="19"/>
  <c r="I14" i="19" s="1"/>
  <c r="S21" i="17"/>
  <c r="R27" i="19"/>
  <c r="I27" i="19" s="1"/>
  <c r="S49" i="19"/>
  <c r="S40" i="21"/>
  <c r="S18" i="21"/>
  <c r="S15" i="20"/>
  <c r="S27" i="22"/>
  <c r="S23" i="23"/>
  <c r="S35" i="24"/>
  <c r="R25" i="25"/>
  <c r="I25" i="25" s="1"/>
  <c r="R21" i="25"/>
  <c r="I21" i="25" s="1"/>
  <c r="R37" i="19"/>
  <c r="I37" i="19" s="1"/>
  <c r="R16" i="16"/>
  <c r="I16" i="16" s="1"/>
  <c r="S17" i="17"/>
  <c r="S43" i="15"/>
  <c r="S25" i="17"/>
  <c r="S21" i="15"/>
  <c r="S40" i="17"/>
  <c r="R45" i="17"/>
  <c r="I45" i="17" s="1"/>
  <c r="S34" i="20"/>
  <c r="R48" i="21"/>
  <c r="I48" i="21" s="1"/>
  <c r="S37" i="22"/>
  <c r="S32" i="22"/>
  <c r="S17" i="20"/>
  <c r="S39" i="22"/>
  <c r="S42" i="23"/>
  <c r="R16" i="25"/>
  <c r="I16" i="25" s="1"/>
  <c r="R48" i="24"/>
  <c r="I48" i="24" s="1"/>
  <c r="S35" i="25"/>
  <c r="R43" i="15"/>
  <c r="I43" i="15" s="1"/>
  <c r="R16" i="20"/>
  <c r="I16" i="20" s="1"/>
  <c r="R48" i="25"/>
  <c r="I48" i="25" s="1"/>
  <c r="R40" i="23"/>
  <c r="I40" i="23" s="1"/>
  <c r="S16" i="17"/>
  <c r="R21" i="15"/>
  <c r="I21" i="15" s="1"/>
  <c r="S42" i="17"/>
  <c r="S24" i="16"/>
  <c r="R33" i="17"/>
  <c r="I33" i="17" s="1"/>
  <c r="S14" i="19"/>
  <c r="S35" i="20"/>
  <c r="S17" i="22"/>
  <c r="S25" i="20"/>
  <c r="S35" i="22"/>
  <c r="S46" i="19"/>
  <c r="S24" i="22"/>
  <c r="S43" i="23"/>
  <c r="S40" i="25"/>
  <c r="S27" i="24"/>
  <c r="S29" i="24"/>
  <c r="S20" i="25"/>
  <c r="S14" i="23"/>
  <c r="S46" i="23"/>
  <c r="R44" i="23"/>
  <c r="I44" i="23" s="1"/>
  <c r="S46" i="22"/>
  <c r="R41" i="13"/>
  <c r="I41" i="13" s="1"/>
  <c r="R36" i="13"/>
  <c r="R42" i="13"/>
  <c r="S16" i="14"/>
  <c r="R45" i="13"/>
  <c r="I45" i="13" s="1"/>
  <c r="R44" i="13"/>
  <c r="R25" i="13"/>
  <c r="I25" i="13" s="1"/>
  <c r="R46" i="14"/>
  <c r="S23" i="13"/>
  <c r="R43" i="14"/>
  <c r="R49" i="13"/>
  <c r="S18" i="13"/>
  <c r="S19" i="13"/>
  <c r="S15" i="14"/>
  <c r="R36" i="14"/>
  <c r="R37" i="13"/>
  <c r="I37" i="13" s="1"/>
  <c r="S45" i="13"/>
  <c r="R45" i="14"/>
  <c r="R33" i="14"/>
  <c r="R30" i="13"/>
  <c r="S36" i="14"/>
  <c r="S16" i="13"/>
  <c r="S28" i="13"/>
  <c r="S24" i="14"/>
  <c r="S33" i="13"/>
  <c r="R16" i="14"/>
  <c r="S26" i="14"/>
  <c r="S20" i="13"/>
  <c r="R22" i="14"/>
  <c r="I22" i="14" s="1"/>
  <c r="R26" i="13"/>
  <c r="I26" i="13" s="1"/>
  <c r="S34" i="14"/>
  <c r="R17" i="14"/>
  <c r="I17" i="14" s="1"/>
  <c r="S40" i="13"/>
  <c r="S33" i="14"/>
  <c r="R34" i="13"/>
  <c r="S23" i="14"/>
  <c r="R19" i="16"/>
  <c r="I19" i="16" s="1"/>
  <c r="R18" i="17"/>
  <c r="I18" i="17" s="1"/>
  <c r="R24" i="15"/>
  <c r="I24" i="15" s="1"/>
  <c r="R18" i="24"/>
  <c r="I18" i="24" s="1"/>
  <c r="R49" i="17"/>
  <c r="I49" i="17" s="1"/>
  <c r="S48" i="17"/>
  <c r="R46" i="19"/>
  <c r="I46" i="19" s="1"/>
  <c r="R33" i="21"/>
  <c r="I33" i="21" s="1"/>
  <c r="S32" i="23"/>
  <c r="S28" i="21"/>
  <c r="R24" i="23"/>
  <c r="I24" i="23" s="1"/>
  <c r="R19" i="25"/>
  <c r="I19" i="25" s="1"/>
  <c r="S33" i="21"/>
  <c r="S13" i="23"/>
  <c r="R16" i="24"/>
  <c r="I16" i="24" s="1"/>
  <c r="S31" i="25"/>
  <c r="S39" i="20"/>
  <c r="S15" i="17"/>
  <c r="S33" i="16"/>
  <c r="S39" i="15"/>
  <c r="R34" i="16"/>
  <c r="I34" i="16" s="1"/>
  <c r="R41" i="24"/>
  <c r="I41" i="24" s="1"/>
  <c r="R26" i="23"/>
  <c r="I26" i="23" s="1"/>
  <c r="R29" i="17"/>
  <c r="I29" i="17" s="1"/>
  <c r="R41" i="25"/>
  <c r="I41" i="25" s="1"/>
  <c r="R25" i="19"/>
  <c r="I25" i="19" s="1"/>
  <c r="R41" i="20"/>
  <c r="I41" i="20" s="1"/>
  <c r="S47" i="22"/>
  <c r="S49" i="16"/>
  <c r="S36" i="21"/>
  <c r="R25" i="23"/>
  <c r="I25" i="23" s="1"/>
  <c r="S35" i="19"/>
  <c r="S42" i="15"/>
  <c r="R25" i="22"/>
  <c r="I25" i="22" s="1"/>
  <c r="S33" i="23"/>
  <c r="R33" i="25"/>
  <c r="I33" i="25" s="1"/>
  <c r="R35" i="20"/>
  <c r="I35" i="20" s="1"/>
  <c r="S26" i="19"/>
  <c r="R38" i="16"/>
  <c r="I38" i="16" s="1"/>
  <c r="R42" i="24"/>
  <c r="I42" i="24" s="1"/>
  <c r="R34" i="23"/>
  <c r="I34" i="23" s="1"/>
  <c r="R34" i="17"/>
  <c r="I34" i="17" s="1"/>
  <c r="R42" i="25"/>
  <c r="I42" i="25" s="1"/>
  <c r="R26" i="19"/>
  <c r="I26" i="19" s="1"/>
  <c r="R42" i="20"/>
  <c r="I42" i="20" s="1"/>
  <c r="S19" i="15"/>
  <c r="S18" i="16"/>
  <c r="S29" i="22"/>
  <c r="S26" i="24"/>
  <c r="S32" i="17"/>
  <c r="R32" i="21"/>
  <c r="I32" i="21" s="1"/>
  <c r="S17" i="23"/>
  <c r="S22" i="25"/>
  <c r="S23" i="20"/>
  <c r="R29" i="19"/>
  <c r="I29" i="19" s="1"/>
  <c r="S48" i="15"/>
  <c r="S23" i="15"/>
  <c r="R29" i="16"/>
  <c r="I29" i="16" s="1"/>
  <c r="R30" i="25"/>
  <c r="I30" i="25" s="1"/>
  <c r="R19" i="20"/>
  <c r="I19" i="20" s="1"/>
  <c r="R16" i="21"/>
  <c r="I16" i="21" s="1"/>
  <c r="R48" i="19"/>
  <c r="I48" i="19" s="1"/>
  <c r="S38" i="19"/>
  <c r="S15" i="15"/>
  <c r="S27" i="17"/>
  <c r="R45" i="19"/>
  <c r="I45" i="19" s="1"/>
  <c r="S45" i="16"/>
  <c r="R25" i="20"/>
  <c r="I25" i="20" s="1"/>
  <c r="S42" i="19"/>
  <c r="S36" i="20"/>
  <c r="R17" i="22"/>
  <c r="I17" i="22" s="1"/>
  <c r="S27" i="20"/>
  <c r="R42" i="16"/>
  <c r="I42" i="16" s="1"/>
  <c r="R26" i="15"/>
  <c r="I26" i="15" s="1"/>
  <c r="R24" i="21"/>
  <c r="I24" i="21" s="1"/>
  <c r="S18" i="15"/>
  <c r="S30" i="25"/>
  <c r="S29" i="15"/>
  <c r="S28" i="17"/>
  <c r="S45" i="19"/>
  <c r="R32" i="17"/>
  <c r="I32" i="17" s="1"/>
  <c r="R16" i="17"/>
  <c r="I16" i="17" s="1"/>
  <c r="S33" i="20"/>
  <c r="R19" i="22"/>
  <c r="I19" i="22" s="1"/>
  <c r="R37" i="21"/>
  <c r="I37" i="21" s="1"/>
  <c r="S47" i="20"/>
  <c r="S43" i="22"/>
  <c r="S28" i="23"/>
  <c r="R24" i="25"/>
  <c r="I24" i="25" s="1"/>
  <c r="R46" i="24"/>
  <c r="I46" i="24" s="1"/>
  <c r="R48" i="14"/>
  <c r="R18" i="14"/>
  <c r="R38" i="13"/>
  <c r="I38" i="13" s="1"/>
  <c r="S41" i="14"/>
  <c r="S32" i="13"/>
  <c r="R22" i="13"/>
  <c r="I22" i="13" s="1"/>
  <c r="S26" i="13"/>
  <c r="S40" i="14"/>
  <c r="R17" i="13"/>
  <c r="I17" i="13" s="1"/>
  <c r="S38" i="14"/>
  <c r="R32" i="13"/>
  <c r="I32" i="13" s="1"/>
  <c r="S44" i="14"/>
  <c r="S14" i="13"/>
  <c r="S46" i="14"/>
  <c r="R30" i="14"/>
  <c r="I30" i="14" s="1"/>
  <c r="S37" i="14"/>
  <c r="S21" i="13"/>
  <c r="R28" i="14"/>
  <c r="I28" i="14" s="1"/>
  <c r="S49" i="14"/>
  <c r="S38" i="13"/>
  <c r="R48" i="13"/>
  <c r="S46" i="13"/>
  <c r="S24" i="13"/>
  <c r="S47" i="13"/>
  <c r="S25" i="13"/>
  <c r="R47" i="14"/>
  <c r="I47" i="14" s="1"/>
  <c r="R15" i="14"/>
  <c r="I15" i="14" s="1"/>
  <c r="S28" i="14"/>
  <c r="R20" i="13"/>
  <c r="I20" i="13" s="1"/>
  <c r="S39" i="13"/>
  <c r="R44" i="14"/>
  <c r="I44" i="14" s="1"/>
  <c r="R39" i="13"/>
  <c r="S42" i="13"/>
  <c r="R14" i="13"/>
  <c r="I14" i="13" s="1"/>
  <c r="R42" i="14"/>
  <c r="I42" i="14" s="1"/>
  <c r="R23" i="14"/>
  <c r="R21" i="16"/>
  <c r="I21" i="16" s="1"/>
  <c r="R30" i="24"/>
  <c r="I30" i="24" s="1"/>
  <c r="R48" i="15"/>
  <c r="I48" i="15" s="1"/>
  <c r="S41" i="25"/>
  <c r="R21" i="19"/>
  <c r="I21" i="19" s="1"/>
  <c r="R18" i="23"/>
  <c r="I18" i="23" s="1"/>
  <c r="R17" i="20"/>
  <c r="I17" i="20" s="1"/>
  <c r="R18" i="22"/>
  <c r="I18" i="22" s="1"/>
  <c r="S49" i="24"/>
  <c r="R37" i="22"/>
  <c r="I37" i="22" s="1"/>
  <c r="S34" i="23"/>
  <c r="S37" i="20"/>
  <c r="S45" i="21"/>
  <c r="S16" i="23"/>
  <c r="S15" i="25"/>
  <c r="S48" i="25"/>
  <c r="S13" i="19"/>
  <c r="S20" i="17"/>
  <c r="S21" i="16"/>
  <c r="R35" i="15"/>
  <c r="I35" i="15" s="1"/>
  <c r="R49" i="16"/>
  <c r="I49" i="16" s="1"/>
  <c r="R13" i="25"/>
  <c r="I13" i="25" s="1"/>
  <c r="R45" i="23"/>
  <c r="I45" i="23" s="1"/>
  <c r="R42" i="17"/>
  <c r="I42" i="17" s="1"/>
  <c r="R42" i="15"/>
  <c r="I42" i="15" s="1"/>
  <c r="R34" i="19"/>
  <c r="I34" i="19" s="1"/>
  <c r="R18" i="21"/>
  <c r="I18" i="21" s="1"/>
  <c r="S47" i="24"/>
  <c r="S20" i="15"/>
  <c r="R24" i="22"/>
  <c r="I24" i="22" s="1"/>
  <c r="S42" i="24"/>
  <c r="S35" i="17"/>
  <c r="S20" i="21"/>
  <c r="R27" i="22"/>
  <c r="I27" i="22" s="1"/>
  <c r="R43" i="23"/>
  <c r="I43" i="23" s="1"/>
  <c r="S28" i="20"/>
  <c r="S27" i="19"/>
  <c r="S29" i="17"/>
  <c r="R13" i="17"/>
  <c r="I13" i="17" s="1"/>
  <c r="R18" i="25"/>
  <c r="I18" i="25" s="1"/>
  <c r="R14" i="24"/>
  <c r="I14" i="24" s="1"/>
  <c r="R43" i="17"/>
  <c r="I43" i="17" s="1"/>
  <c r="R45" i="15"/>
  <c r="I45" i="15" s="1"/>
  <c r="R36" i="19"/>
  <c r="I36" i="19" s="1"/>
  <c r="R25" i="21"/>
  <c r="I25" i="21" s="1"/>
  <c r="S42" i="20"/>
  <c r="S49" i="21"/>
  <c r="S20" i="22"/>
  <c r="S34" i="25"/>
  <c r="R40" i="16"/>
  <c r="I40" i="16" s="1"/>
  <c r="S18" i="22"/>
  <c r="S36" i="23"/>
  <c r="R40" i="25"/>
  <c r="I40" i="25" s="1"/>
  <c r="S17" i="19"/>
  <c r="S13" i="17"/>
  <c r="S17" i="15"/>
  <c r="S35" i="15"/>
  <c r="R37" i="24"/>
  <c r="I37" i="24" s="1"/>
  <c r="R18" i="15"/>
  <c r="I18" i="15" s="1"/>
  <c r="S48" i="16"/>
  <c r="S17" i="21"/>
  <c r="R29" i="24"/>
  <c r="I29" i="24" s="1"/>
  <c r="S34" i="17"/>
  <c r="S33" i="15"/>
  <c r="R13" i="19"/>
  <c r="I13" i="19" s="1"/>
  <c r="R40" i="15"/>
  <c r="I40" i="15" s="1"/>
  <c r="R19" i="17"/>
  <c r="I19" i="17" s="1"/>
  <c r="R41" i="16"/>
  <c r="I41" i="16" s="1"/>
  <c r="S47" i="17"/>
  <c r="S43" i="20"/>
  <c r="R33" i="22"/>
  <c r="I33" i="22" s="1"/>
  <c r="S13" i="21"/>
  <c r="R44" i="24"/>
  <c r="I44" i="24" s="1"/>
  <c r="R28" i="19"/>
  <c r="I28" i="19" s="1"/>
  <c r="R27" i="23"/>
  <c r="I27" i="23" s="1"/>
  <c r="S42" i="21"/>
  <c r="R21" i="20"/>
  <c r="I21" i="20" s="1"/>
  <c r="R27" i="16"/>
  <c r="I27" i="16" s="1"/>
  <c r="S36" i="17"/>
  <c r="S17" i="16"/>
  <c r="R38" i="17"/>
  <c r="I38" i="17" s="1"/>
  <c r="S33" i="19"/>
  <c r="R13" i="21"/>
  <c r="I13" i="21" s="1"/>
  <c r="R35" i="22"/>
  <c r="I35" i="22" s="1"/>
  <c r="S21" i="21"/>
  <c r="S15" i="21"/>
  <c r="S49" i="22"/>
  <c r="S40" i="23"/>
  <c r="S49" i="23"/>
  <c r="S31" i="24"/>
  <c r="R48" i="17"/>
  <c r="I48" i="17" s="1"/>
  <c r="S34" i="22"/>
  <c r="S20" i="23"/>
  <c r="S24" i="19"/>
  <c r="S36" i="15"/>
  <c r="S15" i="19"/>
  <c r="S24" i="17"/>
  <c r="S30" i="19"/>
  <c r="R40" i="19"/>
  <c r="I40" i="19" s="1"/>
  <c r="S16" i="21"/>
  <c r="S21" i="22"/>
  <c r="R43" i="20"/>
  <c r="I43" i="20" s="1"/>
  <c r="S29" i="21"/>
  <c r="S23" i="22"/>
  <c r="R32" i="23"/>
  <c r="I32" i="23" s="1"/>
  <c r="S23" i="24"/>
  <c r="S46" i="25"/>
  <c r="S49" i="25"/>
  <c r="R32" i="14"/>
  <c r="R35" i="13"/>
  <c r="S43" i="14"/>
  <c r="S35" i="14"/>
  <c r="R39" i="14"/>
  <c r="S17" i="13"/>
  <c r="S47" i="14"/>
  <c r="S21" i="14"/>
  <c r="R37" i="14"/>
  <c r="R33" i="16"/>
  <c r="I33" i="16" s="1"/>
  <c r="R34" i="25"/>
  <c r="I34" i="25" s="1"/>
  <c r="S48" i="19"/>
  <c r="R13" i="22"/>
  <c r="I13" i="22" s="1"/>
  <c r="S34" i="19"/>
  <c r="R24" i="17"/>
  <c r="I24" i="17" s="1"/>
  <c r="R34" i="22"/>
  <c r="I34" i="22" s="1"/>
  <c r="S41" i="21"/>
  <c r="S25" i="21"/>
  <c r="R41" i="19"/>
  <c r="I41" i="19" s="1"/>
  <c r="R22" i="24"/>
  <c r="I22" i="24" s="1"/>
  <c r="R42" i="21"/>
  <c r="I42" i="21" s="1"/>
  <c r="S39" i="25"/>
  <c r="S42" i="25"/>
  <c r="S26" i="16"/>
  <c r="S45" i="22"/>
  <c r="S16" i="19"/>
  <c r="S23" i="19"/>
  <c r="R41" i="23"/>
  <c r="I41" i="23" s="1"/>
  <c r="S29" i="16"/>
  <c r="R19" i="19"/>
  <c r="I19" i="19" s="1"/>
  <c r="R13" i="24"/>
  <c r="I13" i="24" s="1"/>
  <c r="S16" i="25"/>
  <c r="R26" i="21"/>
  <c r="I26" i="21" s="1"/>
  <c r="S47" i="23"/>
  <c r="S41" i="17"/>
  <c r="S25" i="19"/>
  <c r="S45" i="20"/>
  <c r="R24" i="20"/>
  <c r="I24" i="20" s="1"/>
  <c r="S49" i="20"/>
  <c r="S15" i="24"/>
  <c r="R27" i="25"/>
  <c r="I27" i="25" s="1"/>
  <c r="R26" i="24"/>
  <c r="I26" i="24" s="1"/>
  <c r="R49" i="21"/>
  <c r="I49" i="21" s="1"/>
  <c r="S45" i="15"/>
  <c r="S14" i="25"/>
  <c r="S32" i="15"/>
  <c r="S25" i="15"/>
  <c r="R30" i="16"/>
  <c r="I30" i="16" s="1"/>
  <c r="S47" i="19"/>
  <c r="S32" i="21"/>
  <c r="R48" i="23"/>
  <c r="I48" i="23" s="1"/>
  <c r="R35" i="23"/>
  <c r="I35" i="23" s="1"/>
  <c r="R29" i="20"/>
  <c r="I29" i="20" s="1"/>
  <c r="S26" i="23"/>
  <c r="R40" i="20"/>
  <c r="I40" i="20" s="1"/>
  <c r="S24" i="25"/>
  <c r="R29" i="25"/>
  <c r="I29" i="25" s="1"/>
  <c r="S22" i="23"/>
  <c r="R28" i="23"/>
  <c r="I28" i="23" s="1"/>
  <c r="S38" i="22"/>
  <c r="S43" i="21"/>
  <c r="S38" i="21"/>
  <c r="R14" i="20"/>
  <c r="I14" i="20" s="1"/>
  <c r="S38" i="20"/>
  <c r="S36" i="19"/>
  <c r="S47" i="16"/>
  <c r="R14" i="15"/>
  <c r="I14" i="15" s="1"/>
  <c r="R41" i="15"/>
  <c r="I41" i="15" s="1"/>
  <c r="S38" i="16"/>
  <c r="R47" i="17"/>
  <c r="I47" i="17" s="1"/>
  <c r="R46" i="15"/>
  <c r="I46" i="15" s="1"/>
  <c r="S48" i="21"/>
  <c r="R27" i="24"/>
  <c r="I27" i="24" s="1"/>
  <c r="S32" i="24"/>
  <c r="R15" i="25"/>
  <c r="I15" i="25" s="1"/>
  <c r="S28" i="24"/>
  <c r="R46" i="22"/>
  <c r="I46" i="22" s="1"/>
  <c r="R19" i="21"/>
  <c r="I19" i="21" s="1"/>
  <c r="R44" i="21"/>
  <c r="I44" i="21" s="1"/>
  <c r="R39" i="20"/>
  <c r="I39" i="20" s="1"/>
  <c r="R39" i="17"/>
  <c r="I39" i="17" s="1"/>
  <c r="R47" i="16"/>
  <c r="I47" i="16" s="1"/>
  <c r="S26" i="22"/>
  <c r="S43" i="24"/>
  <c r="R20" i="25"/>
  <c r="I20" i="25" s="1"/>
  <c r="S14" i="24"/>
  <c r="S46" i="24"/>
  <c r="R22" i="23"/>
  <c r="I22" i="23" s="1"/>
  <c r="R36" i="22"/>
  <c r="I36" i="22" s="1"/>
  <c r="R27" i="21"/>
  <c r="I27" i="21" s="1"/>
  <c r="R20" i="19"/>
  <c r="I20" i="19" s="1"/>
  <c r="R47" i="19"/>
  <c r="I47" i="19" s="1"/>
  <c r="S36" i="16"/>
  <c r="S14" i="15"/>
  <c r="R15" i="15"/>
  <c r="I15" i="15" s="1"/>
  <c r="R23" i="21"/>
  <c r="I23" i="21" s="1"/>
  <c r="S22" i="17"/>
  <c r="R15" i="17"/>
  <c r="I15" i="17" s="1"/>
  <c r="S37" i="24"/>
  <c r="R23" i="24"/>
  <c r="I23" i="24" s="1"/>
  <c r="R39" i="22"/>
  <c r="I39" i="22" s="1"/>
  <c r="S45" i="14"/>
  <c r="R19" i="13"/>
  <c r="I19" i="13" s="1"/>
  <c r="R27" i="14"/>
  <c r="R35" i="14"/>
  <c r="R40" i="14"/>
  <c r="S48" i="13"/>
  <c r="S42" i="14"/>
  <c r="S37" i="13"/>
  <c r="S15" i="13"/>
  <c r="R38" i="24"/>
  <c r="I38" i="24" s="1"/>
  <c r="R19" i="15"/>
  <c r="I19" i="15" s="1"/>
  <c r="R41" i="22"/>
  <c r="I41" i="22" s="1"/>
  <c r="S17" i="24"/>
  <c r="S39" i="17"/>
  <c r="R27" i="15"/>
  <c r="I27" i="15" s="1"/>
  <c r="R49" i="19"/>
  <c r="I49" i="19" s="1"/>
  <c r="S31" i="23"/>
  <c r="S41" i="22"/>
  <c r="S44" i="17"/>
  <c r="R17" i="19"/>
  <c r="I17" i="19" s="1"/>
  <c r="S40" i="19"/>
  <c r="R37" i="15"/>
  <c r="I37" i="15" s="1"/>
  <c r="S29" i="19"/>
  <c r="R49" i="22"/>
  <c r="I49" i="22" s="1"/>
  <c r="R35" i="25"/>
  <c r="I35" i="25" s="1"/>
  <c r="S28" i="15"/>
  <c r="S48" i="20"/>
  <c r="R48" i="20"/>
  <c r="I48" i="20" s="1"/>
  <c r="S41" i="16"/>
  <c r="S49" i="17"/>
  <c r="R21" i="22"/>
  <c r="I21" i="22" s="1"/>
  <c r="R17" i="17"/>
  <c r="I17" i="17" s="1"/>
  <c r="S45" i="24"/>
  <c r="S18" i="17"/>
  <c r="R18" i="20"/>
  <c r="I18" i="20" s="1"/>
  <c r="S19" i="17"/>
  <c r="S31" i="21"/>
  <c r="R29" i="21"/>
  <c r="I29" i="21" s="1"/>
  <c r="S28" i="22"/>
  <c r="S41" i="24"/>
  <c r="S48" i="24"/>
  <c r="R25" i="24"/>
  <c r="I25" i="24" s="1"/>
  <c r="S32" i="19"/>
  <c r="S13" i="15"/>
  <c r="R27" i="17"/>
  <c r="I27" i="17" s="1"/>
  <c r="R24" i="16"/>
  <c r="I24" i="16" s="1"/>
  <c r="S47" i="15"/>
  <c r="S42" i="16"/>
  <c r="S16" i="20"/>
  <c r="R41" i="21"/>
  <c r="I41" i="21" s="1"/>
  <c r="R21" i="21"/>
  <c r="I21" i="21" s="1"/>
  <c r="S37" i="21"/>
  <c r="S44" i="21"/>
  <c r="S16" i="24"/>
  <c r="R37" i="23"/>
  <c r="I37" i="23" s="1"/>
  <c r="S41" i="23"/>
  <c r="R39" i="25"/>
  <c r="I39" i="25" s="1"/>
  <c r="S30" i="23"/>
  <c r="R36" i="23"/>
  <c r="I36" i="23" s="1"/>
  <c r="R14" i="22"/>
  <c r="I14" i="22" s="1"/>
  <c r="S14" i="21"/>
  <c r="S46" i="21"/>
  <c r="R22" i="20"/>
  <c r="I22" i="20" s="1"/>
  <c r="S46" i="20"/>
  <c r="R39" i="16"/>
  <c r="I39" i="16" s="1"/>
  <c r="R31" i="16"/>
  <c r="I31" i="16" s="1"/>
  <c r="R38" i="15"/>
  <c r="I38" i="15" s="1"/>
  <c r="S46" i="15"/>
  <c r="S30" i="15"/>
  <c r="R36" i="16"/>
  <c r="I36" i="16" s="1"/>
  <c r="R21" i="23"/>
  <c r="I21" i="23" s="1"/>
  <c r="S27" i="23"/>
  <c r="R14" i="25"/>
  <c r="I14" i="25" s="1"/>
  <c r="S40" i="24"/>
  <c r="S28" i="25"/>
  <c r="R14" i="23"/>
  <c r="I14" i="23" s="1"/>
  <c r="R15" i="22"/>
  <c r="I15" i="22" s="1"/>
  <c r="R30" i="21"/>
  <c r="I30" i="21" s="1"/>
  <c r="R39" i="21"/>
  <c r="I39" i="21" s="1"/>
  <c r="R44" i="19"/>
  <c r="I44" i="19" s="1"/>
  <c r="S20" i="16"/>
  <c r="S27" i="16"/>
  <c r="S42" i="22"/>
  <c r="S19" i="25"/>
  <c r="R28" i="25"/>
  <c r="I28" i="25" s="1"/>
  <c r="S22" i="24"/>
  <c r="R28" i="24"/>
  <c r="I28" i="24" s="1"/>
  <c r="R38" i="23"/>
  <c r="I38" i="23" s="1"/>
  <c r="R44" i="22"/>
  <c r="I44" i="22" s="1"/>
  <c r="R20" i="21"/>
  <c r="I20" i="21" s="1"/>
  <c r="R23" i="19"/>
  <c r="I23" i="19" s="1"/>
  <c r="R22" i="17"/>
  <c r="I22" i="17" s="1"/>
  <c r="S15" i="16"/>
  <c r="R25" i="15"/>
  <c r="I25" i="15" s="1"/>
  <c r="R31" i="15"/>
  <c r="I31" i="15" s="1"/>
  <c r="S14" i="20"/>
  <c r="R31" i="20"/>
  <c r="I31" i="20" s="1"/>
  <c r="S38" i="17"/>
  <c r="S39" i="16"/>
  <c r="S47" i="25"/>
  <c r="R37" i="25"/>
  <c r="I37" i="25" s="1"/>
  <c r="R31" i="25"/>
  <c r="I31" i="25" s="1"/>
  <c r="R31" i="24"/>
  <c r="I31" i="24" s="1"/>
  <c r="R31" i="23"/>
  <c r="I31" i="23" s="1"/>
  <c r="S30" i="22"/>
  <c r="R14" i="21"/>
  <c r="I14" i="21" s="1"/>
  <c r="R20" i="20"/>
  <c r="I20" i="20" s="1"/>
  <c r="R30" i="17"/>
  <c r="I30" i="17" s="1"/>
  <c r="R44" i="17"/>
  <c r="I44" i="17" s="1"/>
  <c r="R30" i="15"/>
  <c r="I30" i="15" s="1"/>
  <c r="R44" i="15"/>
  <c r="I44" i="15" s="1"/>
  <c r="S43" i="13"/>
  <c r="S49" i="13"/>
  <c r="R28" i="13"/>
  <c r="I28" i="13" s="1"/>
  <c r="R26" i="17"/>
  <c r="I26" i="17" s="1"/>
  <c r="S18" i="19"/>
  <c r="S26" i="15"/>
  <c r="S44" i="20"/>
  <c r="S40" i="20"/>
  <c r="R13" i="20"/>
  <c r="I13" i="20" s="1"/>
  <c r="R24" i="24"/>
  <c r="I24" i="24" s="1"/>
  <c r="R43" i="16"/>
  <c r="I43" i="16" s="1"/>
  <c r="S21" i="19"/>
  <c r="S36" i="22"/>
  <c r="S21" i="24"/>
  <c r="S39" i="19"/>
  <c r="S33" i="17"/>
  <c r="R32" i="22"/>
  <c r="I32" i="22" s="1"/>
  <c r="S24" i="23"/>
  <c r="R21" i="24"/>
  <c r="I21" i="24" s="1"/>
  <c r="S24" i="20"/>
  <c r="S34" i="15"/>
  <c r="R30" i="19"/>
  <c r="I30" i="19" s="1"/>
  <c r="S23" i="21"/>
  <c r="S16" i="22"/>
  <c r="S45" i="23"/>
  <c r="R33" i="24"/>
  <c r="I33" i="24" s="1"/>
  <c r="R47" i="24"/>
  <c r="I47" i="24" s="1"/>
  <c r="R38" i="22"/>
  <c r="I38" i="22" s="1"/>
  <c r="S30" i="21"/>
  <c r="R46" i="20"/>
  <c r="I46" i="20" s="1"/>
  <c r="R18" i="16"/>
  <c r="I18" i="16" s="1"/>
  <c r="R39" i="15"/>
  <c r="I39" i="15" s="1"/>
  <c r="S30" i="16"/>
  <c r="R43" i="25"/>
  <c r="I43" i="25" s="1"/>
  <c r="R32" i="25"/>
  <c r="I32" i="25" s="1"/>
  <c r="R39" i="23"/>
  <c r="I39" i="23" s="1"/>
  <c r="R35" i="21"/>
  <c r="I35" i="21" s="1"/>
  <c r="R23" i="17"/>
  <c r="I23" i="17" s="1"/>
  <c r="R49" i="24"/>
  <c r="I49" i="24" s="1"/>
  <c r="S36" i="25"/>
  <c r="S44" i="24"/>
  <c r="R46" i="21"/>
  <c r="I46" i="21" s="1"/>
  <c r="R44" i="16"/>
  <c r="I44" i="16" s="1"/>
  <c r="R49" i="15"/>
  <c r="I49" i="15" s="1"/>
  <c r="R28" i="20"/>
  <c r="I28" i="20" s="1"/>
  <c r="R28" i="17"/>
  <c r="I28" i="17" s="1"/>
  <c r="S27" i="25"/>
  <c r="R15" i="24"/>
  <c r="I15" i="24" s="1"/>
  <c r="S14" i="22"/>
  <c r="R28" i="21"/>
  <c r="I28" i="21" s="1"/>
  <c r="S30" i="17"/>
  <c r="R28" i="15"/>
  <c r="I28" i="15" s="1"/>
  <c r="R44" i="20"/>
  <c r="I44" i="20" s="1"/>
  <c r="S32" i="25"/>
  <c r="R44" i="25"/>
  <c r="I44" i="25" s="1"/>
  <c r="R15" i="23"/>
  <c r="I15" i="23" s="1"/>
  <c r="S22" i="20"/>
  <c r="R43" i="13"/>
  <c r="S48" i="14"/>
  <c r="R46" i="13"/>
  <c r="R21" i="14"/>
  <c r="R29" i="14"/>
  <c r="S32" i="14"/>
  <c r="R47" i="13"/>
  <c r="R24" i="14"/>
  <c r="R18" i="13"/>
  <c r="I18" i="13" s="1"/>
  <c r="R16" i="23"/>
  <c r="I16" i="23" s="1"/>
  <c r="R37" i="20"/>
  <c r="I37" i="20" s="1"/>
  <c r="S18" i="23"/>
  <c r="S37" i="25"/>
  <c r="R13" i="15"/>
  <c r="I13" i="15" s="1"/>
  <c r="R20" i="24"/>
  <c r="I20" i="24" s="1"/>
  <c r="R34" i="21"/>
  <c r="I34" i="21" s="1"/>
  <c r="R17" i="25"/>
  <c r="I17" i="25" s="1"/>
  <c r="S33" i="25"/>
  <c r="R25" i="17"/>
  <c r="I25" i="17" s="1"/>
  <c r="R48" i="22"/>
  <c r="I48" i="22" s="1"/>
  <c r="R17" i="21"/>
  <c r="I17" i="21" s="1"/>
  <c r="S13" i="22"/>
  <c r="S45" i="17"/>
  <c r="R34" i="20"/>
  <c r="I34" i="20" s="1"/>
  <c r="S37" i="16"/>
  <c r="S31" i="17"/>
  <c r="S15" i="23"/>
  <c r="S33" i="24"/>
  <c r="R40" i="17"/>
  <c r="I40" i="17" s="1"/>
  <c r="S24" i="21"/>
  <c r="S21" i="23"/>
  <c r="R17" i="24"/>
  <c r="I17" i="24" s="1"/>
  <c r="R17" i="23"/>
  <c r="I17" i="23" s="1"/>
  <c r="S31" i="15"/>
  <c r="R35" i="16"/>
  <c r="I35" i="16" s="1"/>
  <c r="S44" i="15"/>
  <c r="R16" i="22"/>
  <c r="I16" i="22" s="1"/>
  <c r="S48" i="22"/>
  <c r="S44" i="22"/>
  <c r="R38" i="25"/>
  <c r="I38" i="25" s="1"/>
  <c r="S25" i="23"/>
  <c r="R18" i="19"/>
  <c r="I18" i="19" s="1"/>
  <c r="R29" i="22"/>
  <c r="I29" i="22" s="1"/>
  <c r="S29" i="23"/>
  <c r="S25" i="16"/>
  <c r="S26" i="17"/>
  <c r="R41" i="17"/>
  <c r="I41" i="17" s="1"/>
  <c r="R33" i="19"/>
  <c r="I33" i="19" s="1"/>
  <c r="S29" i="20"/>
  <c r="S33" i="22"/>
  <c r="S34" i="21"/>
  <c r="S37" i="23"/>
  <c r="S40" i="22"/>
  <c r="S24" i="24"/>
  <c r="S39" i="23"/>
  <c r="S39" i="24"/>
  <c r="R39" i="24"/>
  <c r="I39" i="24" s="1"/>
  <c r="S38" i="23"/>
  <c r="R30" i="22"/>
  <c r="I30" i="22" s="1"/>
  <c r="R43" i="21"/>
  <c r="I43" i="21" s="1"/>
  <c r="S22" i="21"/>
  <c r="R36" i="21"/>
  <c r="I36" i="21" s="1"/>
  <c r="R30" i="20"/>
  <c r="I30" i="20" s="1"/>
  <c r="S20" i="19"/>
  <c r="S28" i="16"/>
  <c r="S19" i="16"/>
  <c r="R17" i="15"/>
  <c r="I17" i="15" s="1"/>
  <c r="R23" i="15"/>
  <c r="I23" i="15" s="1"/>
  <c r="R22" i="15"/>
  <c r="I22" i="15" s="1"/>
  <c r="R23" i="16"/>
  <c r="I23" i="16" s="1"/>
  <c r="S31" i="20"/>
  <c r="S44" i="23"/>
  <c r="S43" i="25"/>
  <c r="S18" i="25"/>
  <c r="R47" i="25"/>
  <c r="I47" i="25" s="1"/>
  <c r="R23" i="23"/>
  <c r="I23" i="23" s="1"/>
  <c r="R31" i="22"/>
  <c r="I31" i="22" s="1"/>
  <c r="R38" i="21"/>
  <c r="I38" i="21" s="1"/>
  <c r="R38" i="20"/>
  <c r="I38" i="20" s="1"/>
  <c r="R15" i="19"/>
  <c r="I15" i="19" s="1"/>
  <c r="S44" i="16"/>
  <c r="S22" i="16"/>
  <c r="R35" i="24"/>
  <c r="I35" i="24" s="1"/>
  <c r="S25" i="25"/>
  <c r="R23" i="25"/>
  <c r="I23" i="25" s="1"/>
  <c r="S30" i="24"/>
  <c r="S36" i="24"/>
  <c r="R20" i="22"/>
  <c r="I20" i="22" s="1"/>
  <c r="S19" i="21"/>
  <c r="R15" i="21"/>
  <c r="I15" i="21" s="1"/>
  <c r="S28" i="19"/>
  <c r="R20" i="16"/>
  <c r="I20" i="16" s="1"/>
  <c r="S23" i="16"/>
  <c r="S38" i="15"/>
  <c r="R47" i="15"/>
  <c r="I47" i="15" s="1"/>
  <c r="S30" i="20"/>
  <c r="R14" i="17"/>
  <c r="I14" i="17" s="1"/>
  <c r="R20" i="17"/>
  <c r="I20" i="17" s="1"/>
  <c r="S31" i="16"/>
  <c r="R22" i="25"/>
  <c r="I22" i="25" s="1"/>
  <c r="S13" i="16"/>
  <c r="S44" i="25"/>
  <c r="R30" i="23"/>
  <c r="I30" i="23" s="1"/>
  <c r="R47" i="23"/>
  <c r="I47" i="23" s="1"/>
  <c r="R22" i="22"/>
  <c r="I22" i="22" s="1"/>
  <c r="S27" i="21"/>
  <c r="R36" i="20"/>
  <c r="I36" i="20" s="1"/>
  <c r="S14" i="17"/>
  <c r="R31" i="17"/>
  <c r="I31" i="17" s="1"/>
  <c r="R20" i="15"/>
  <c r="I20" i="15" s="1"/>
  <c r="R33" i="15"/>
  <c r="I33" i="15" s="1"/>
  <c r="S25" i="14"/>
  <c r="S35" i="13"/>
  <c r="S34" i="13"/>
  <c r="R27" i="13"/>
  <c r="I27" i="13" s="1"/>
  <c r="S30" i="14"/>
  <c r="R45" i="25"/>
  <c r="I45" i="25" s="1"/>
  <c r="R40" i="22"/>
  <c r="I40" i="22" s="1"/>
  <c r="S38" i="25"/>
  <c r="R16" i="19"/>
  <c r="I16" i="19" s="1"/>
  <c r="S34" i="16"/>
  <c r="R34" i="15"/>
  <c r="I34" i="15" s="1"/>
  <c r="S35" i="23"/>
  <c r="R32" i="15"/>
  <c r="I32" i="15" s="1"/>
  <c r="R45" i="16"/>
  <c r="I45" i="16" s="1"/>
  <c r="S26" i="21"/>
  <c r="R32" i="16"/>
  <c r="I32" i="16" s="1"/>
  <c r="S43" i="19"/>
  <c r="R14" i="16"/>
  <c r="I14" i="16" s="1"/>
  <c r="R48" i="16"/>
  <c r="I48" i="16" s="1"/>
  <c r="R27" i="20"/>
  <c r="I27" i="20" s="1"/>
  <c r="S13" i="24"/>
  <c r="R19" i="24"/>
  <c r="I19" i="24" s="1"/>
  <c r="R13" i="23"/>
  <c r="I13" i="23" s="1"/>
  <c r="S25" i="24"/>
  <c r="S18" i="20"/>
  <c r="R42" i="19"/>
  <c r="I42" i="19" s="1"/>
  <c r="R33" i="23"/>
  <c r="I33" i="23" s="1"/>
  <c r="S19" i="20"/>
  <c r="R43" i="24"/>
  <c r="I43" i="24" s="1"/>
  <c r="S17" i="25"/>
  <c r="R20" i="23"/>
  <c r="I20" i="23" s="1"/>
  <c r="R22" i="21"/>
  <c r="I22" i="21" s="1"/>
  <c r="R31" i="21"/>
  <c r="I31" i="21" s="1"/>
  <c r="R31" i="19"/>
  <c r="I31" i="19" s="1"/>
  <c r="S14" i="16"/>
  <c r="S22" i="15"/>
  <c r="R36" i="17"/>
  <c r="I36" i="17" s="1"/>
  <c r="R45" i="20"/>
  <c r="I45" i="20" s="1"/>
  <c r="S19" i="24"/>
  <c r="S20" i="24"/>
  <c r="R47" i="22"/>
  <c r="I47" i="22" s="1"/>
  <c r="R23" i="20"/>
  <c r="I23" i="20" s="1"/>
  <c r="R28" i="16"/>
  <c r="I28" i="16" s="1"/>
  <c r="S20" i="20"/>
  <c r="R13" i="16"/>
  <c r="I13" i="16" s="1"/>
  <c r="S38" i="24"/>
  <c r="R28" i="22"/>
  <c r="I28" i="22" s="1"/>
  <c r="R47" i="21"/>
  <c r="I47" i="21" s="1"/>
  <c r="R39" i="19"/>
  <c r="I39" i="19" s="1"/>
  <c r="S35" i="16"/>
  <c r="S35" i="21"/>
  <c r="R46" i="17"/>
  <c r="I46" i="17" s="1"/>
  <c r="S46" i="16"/>
  <c r="R36" i="25"/>
  <c r="I36" i="25" s="1"/>
  <c r="R46" i="23"/>
  <c r="I46" i="23" s="1"/>
  <c r="R23" i="22"/>
  <c r="I23" i="22" s="1"/>
  <c r="R15" i="20"/>
  <c r="I15" i="20" s="1"/>
  <c r="R15" i="16"/>
  <c r="I15" i="16" s="1"/>
  <c r="S22" i="22"/>
  <c r="S46" i="17"/>
  <c r="R47" i="20"/>
  <c r="I47" i="20" s="1"/>
  <c r="R36" i="15"/>
  <c r="I36" i="15" s="1"/>
  <c r="S43" i="16"/>
  <c r="I44" i="13"/>
  <c r="I38" i="14"/>
  <c r="I21" i="14"/>
  <c r="I40" i="14"/>
  <c r="R13" i="13"/>
  <c r="I13" i="13" s="1"/>
  <c r="I42" i="13"/>
  <c r="I39" i="13"/>
  <c r="I25" i="14"/>
  <c r="I46" i="13"/>
  <c r="I33" i="13"/>
  <c r="I14" i="14"/>
  <c r="I46" i="14"/>
  <c r="S13" i="14"/>
  <c r="I43" i="14"/>
  <c r="I43" i="13"/>
  <c r="I45" i="14"/>
  <c r="I26" i="14"/>
  <c r="I39" i="14"/>
  <c r="I49" i="13"/>
  <c r="I36" i="14"/>
  <c r="I29" i="14"/>
  <c r="I33" i="14"/>
  <c r="I37" i="14"/>
  <c r="I34" i="13"/>
  <c r="I23" i="14"/>
  <c r="S13" i="13"/>
  <c r="I31" i="14"/>
  <c r="I27" i="14"/>
  <c r="I30" i="13"/>
  <c r="I48" i="13"/>
  <c r="I47" i="13"/>
  <c r="I20" i="14"/>
  <c r="I31" i="13"/>
  <c r="I18" i="14"/>
  <c r="R13" i="14"/>
  <c r="I13" i="14" s="1"/>
  <c r="I40" i="13"/>
  <c r="I32" i="14"/>
  <c r="I16" i="14"/>
  <c r="I24" i="14"/>
  <c r="I48" i="14"/>
  <c r="I36" i="13"/>
  <c r="I49" i="14"/>
  <c r="I35" i="13"/>
  <c r="I29" i="13"/>
  <c r="I35" i="14"/>
  <c r="I50" i="23" l="1"/>
  <c r="I50" i="15"/>
  <c r="I50" i="24"/>
  <c r="I50" i="21"/>
  <c r="I50" i="17"/>
  <c r="I50" i="25"/>
  <c r="I50" i="16"/>
  <c r="I50" i="20"/>
  <c r="I50" i="22"/>
  <c r="I50" i="19"/>
  <c r="I50" i="13"/>
  <c r="I50" i="14"/>
  <c r="D11" i="26"/>
  <c r="D7" i="26"/>
  <c r="D12" i="26"/>
  <c r="D5" i="26"/>
  <c r="D13" i="26"/>
  <c r="D9" i="26"/>
  <c r="D8" i="26"/>
  <c r="D6" i="26"/>
  <c r="D10" i="26"/>
  <c r="D4" i="26"/>
  <c r="D2" i="26"/>
  <c r="D3" i="26"/>
  <c r="C5" i="26" l="1"/>
  <c r="C12" i="26"/>
  <c r="C8" i="26"/>
  <c r="C13" i="26"/>
  <c r="C10" i="26"/>
  <c r="C7" i="26"/>
  <c r="C9" i="26"/>
  <c r="C4" i="26"/>
  <c r="C6" i="26"/>
  <c r="C11" i="26"/>
  <c r="C3" i="26"/>
  <c r="C2" i="26"/>
  <c r="D15" i="26"/>
  <c r="C15" i="26" l="1"/>
</calcChain>
</file>

<file path=xl/sharedStrings.xml><?xml version="1.0" encoding="utf-8"?>
<sst xmlns="http://schemas.openxmlformats.org/spreadsheetml/2006/main" count="606" uniqueCount="117">
  <si>
    <t>Date</t>
  </si>
  <si>
    <t>Service</t>
  </si>
  <si>
    <t>Horaire</t>
  </si>
  <si>
    <t>début</t>
  </si>
  <si>
    <t>Fin</t>
  </si>
  <si>
    <t>heures jour dimanche</t>
  </si>
  <si>
    <t>heures jour fériés</t>
  </si>
  <si>
    <t>Lundi de Pâques</t>
  </si>
  <si>
    <t>PP Début</t>
  </si>
  <si>
    <t>PP Fin</t>
  </si>
  <si>
    <t>PNP Début</t>
  </si>
  <si>
    <t>PNP Fin</t>
  </si>
  <si>
    <t>Heures totales payées</t>
  </si>
  <si>
    <t>début nuit</t>
  </si>
  <si>
    <t>fin nuit</t>
  </si>
  <si>
    <t>début dimanche &amp; JF</t>
  </si>
  <si>
    <t>fin dimanche &amp; JF</t>
  </si>
  <si>
    <t>Fin corrigée si nuit</t>
  </si>
  <si>
    <t>PNP Début corrigé</t>
  </si>
  <si>
    <t>PNP Fin corrigée</t>
  </si>
  <si>
    <t>Heures de nuit hors PNP</t>
  </si>
  <si>
    <t>Majoration</t>
  </si>
  <si>
    <t>Mois concerné</t>
  </si>
  <si>
    <t>Matricule:</t>
  </si>
  <si>
    <t>Département:</t>
  </si>
  <si>
    <t>Pause</t>
  </si>
  <si>
    <t>Payée</t>
  </si>
  <si>
    <t>Non payée</t>
  </si>
  <si>
    <t>Début</t>
  </si>
  <si>
    <t>TOTAUX</t>
  </si>
  <si>
    <t>Date et visa du collaborateur</t>
  </si>
  <si>
    <t>Date et visa planification</t>
  </si>
  <si>
    <t>Heures de nuit</t>
  </si>
  <si>
    <t>heures jour dimanche hors PNP</t>
  </si>
  <si>
    <t>heures jour fériés hors PNP</t>
  </si>
  <si>
    <t xml:space="preserve">                   DQ RH00008</t>
  </si>
  <si>
    <t xml:space="preserve">Prénom: </t>
  </si>
  <si>
    <t xml:space="preserve">      RELEVE MENSUEL DES HEURES EFFECTUEES</t>
  </si>
  <si>
    <t>Vendredi Saint</t>
  </si>
  <si>
    <t>Restauration republique</t>
  </si>
  <si>
    <t>RESERVE</t>
  </si>
  <si>
    <t>Nouvel An</t>
  </si>
  <si>
    <t>Jeudi ascension</t>
  </si>
  <si>
    <t>Lundi de pentecote</t>
  </si>
  <si>
    <t>Fete nationale</t>
  </si>
  <si>
    <t>jeune Genevois</t>
  </si>
  <si>
    <t xml:space="preserve">Noel </t>
  </si>
  <si>
    <t>Vacances</t>
  </si>
  <si>
    <t>xxx</t>
  </si>
  <si>
    <t xml:space="preserve">Nom:    </t>
  </si>
  <si>
    <t>MOIS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</si>
  <si>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</si>
  <si>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</si>
  <si>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</si>
  <si>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</si>
  <si>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</si>
  <si>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</si>
  <si>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</si>
  <si>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</si>
  <si>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</si>
  <si>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</si>
  <si>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</si>
  <si>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</si>
  <si>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TOTAUX ANNUEL</t>
  </si>
  <si>
    <t>Maladie</t>
  </si>
  <si>
    <t>Totaux
sans
majoration</t>
  </si>
  <si>
    <t>MAJORATIONS</t>
  </si>
  <si>
    <t xml:space="preserve">TOTAL DE JOURS TRAVAILLES </t>
  </si>
  <si>
    <t>HEURES</t>
  </si>
  <si>
    <t xml:space="preserve">TOTAL SANS MAJORATION </t>
  </si>
  <si>
    <t>CCT</t>
  </si>
  <si>
    <t>Admin</t>
  </si>
  <si>
    <t>17J</t>
  </si>
  <si>
    <t>17N</t>
  </si>
  <si>
    <t>18N</t>
  </si>
  <si>
    <t>19J</t>
  </si>
  <si>
    <t>19N</t>
  </si>
  <si>
    <t>20J</t>
  </si>
  <si>
    <t>20N</t>
  </si>
  <si>
    <t>21J</t>
  </si>
  <si>
    <t>21N</t>
  </si>
  <si>
    <t>22J</t>
  </si>
  <si>
    <t>22N</t>
  </si>
  <si>
    <t>23N</t>
  </si>
  <si>
    <t>24J</t>
  </si>
  <si>
    <t>24N</t>
  </si>
  <si>
    <t>25J</t>
  </si>
  <si>
    <t>25N</t>
  </si>
  <si>
    <t>26N</t>
  </si>
  <si>
    <t>27J</t>
  </si>
  <si>
    <t>27N</t>
  </si>
  <si>
    <t>28J</t>
  </si>
  <si>
    <t>28N</t>
  </si>
  <si>
    <t>29N</t>
  </si>
  <si>
    <t>31N</t>
  </si>
  <si>
    <t>32N</t>
  </si>
  <si>
    <t>36N</t>
  </si>
  <si>
    <t>37N</t>
  </si>
  <si>
    <t>38N</t>
  </si>
  <si>
    <t>39N</t>
  </si>
  <si>
    <t>40J</t>
  </si>
  <si>
    <t>40N</t>
  </si>
  <si>
    <t>41N</t>
  </si>
  <si>
    <t>42N</t>
  </si>
  <si>
    <t>43N</t>
  </si>
  <si>
    <t>44N</t>
  </si>
  <si>
    <t>45N</t>
  </si>
  <si>
    <t>46N</t>
  </si>
  <si>
    <t>47N</t>
  </si>
  <si>
    <t>48N</t>
  </si>
  <si>
    <t>49N</t>
  </si>
  <si>
    <t>51N</t>
  </si>
  <si>
    <t xml:space="preserve">           DQ RH00008</t>
  </si>
  <si>
    <t>Nom:</t>
  </si>
  <si>
    <t>debut</t>
  </si>
  <si>
    <t>fin</t>
  </si>
  <si>
    <t>Services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</si>
</sst>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7">
    <numFmt numFmtId="43" formatCode="_-* #,##0.00\ _€_-;\-* #,##0.00\ _€_-;_-* &quot;-&quot;??\ _€_-;_-@_-"/>
    <numFmt numFmtId="164" formatCode="[$-F800]dddd\,\ mmmm\ dd\,\ yyyy"/>
    <numFmt numFmtId="165" formatCode="h:mm;@"/>
    <numFmt numFmtId="166" formatCode="ddd\ dd/mm/yyyy"/>
    <numFmt numFmtId="167" formatCode="d\ hh:mm"/>
    <numFmt numFmtId="168" formatCode="[$-40C]mmmm\-yy;@"/>
    <numFmt numFmtId="169" formatCode="[h]:mm:ss;@"/>
  </numFmts>
  <fonts count="26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9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0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2"/>
      <color rgb="FF000000"/>
      <name val="Arial"/>
      <family val="2"/>
    </font>
    <font>
      <b/>
      <sz val="10"/>
      <color theme="1"/>
      <name val="Arial"/>
      <family val="2"/>
    </font>
    <font>
      <b/>
      <sz val="20"/>
      <color theme="1"/>
      <name val="Impact"/>
      <family val="2"/>
    </font>
    <font>
      <b/>
      <sz val="12"/>
      <color theme="1"/>
      <name val="Calibri"/>
      <family val="2"/>
      <scheme val="minor"/>
    </font>
    <font>
      <b/>
      <sz val="12"/>
      <color rgb="FFFF0000"/>
      <name val="Calibri"/>
      <family val="2"/>
      <scheme val="minor"/>
    </font>
    <font>
      <sz val="11"/>
      <color theme="1"/>
      <name val="Arial"/>
      <family val="2"/>
    </font>
    <font>
      <sz val="10"/>
      <color theme="1"/>
      <name val="Calibri"/>
      <family val="2"/>
      <scheme val="minor"/>
    </font>
    <font>
      <b/>
      <sz val="11"/>
      <color rgb="FF0070C0"/>
      <name val="Arial"/>
      <family val="2"/>
    </font>
    <font>
      <b/>
      <sz val="12"/>
      <color rgb="FF0070C0"/>
      <name val="Arial"/>
      <family val="2"/>
    </font>
    <font>
      <sz val="12"/>
      <color theme="1"/>
      <name val="Arial"/>
      <family val="2"/>
    </font>
    <font>
      <sz val="11"/>
      <color theme="0"/>
      <name val="Calibri"/>
      <family val="2"/>
      <scheme val="minor"/>
    </font>
    <font>
      <sz val="16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u/>
      <sz val="14"/>
      <color rgb="FFFF0000"/>
      <name val="Calibri"/>
      <family val="2"/>
      <scheme val="minor"/>
    </font>
    <font>
      <b/>
      <sz val="14"/>
      <color rgb="FFFF0000"/>
      <name val="Calibri"/>
      <family val="2"/>
      <scheme val="minor"/>
    </font>
    <font>
      <b/>
      <sz val="18"/>
      <color rgb="FF0070C0"/>
      <name val="Calibri"/>
      <family val="2"/>
      <scheme val="minor"/>
    </font>
    <font>
      <sz val="11"/>
      <color rgb="FF0070C0"/>
      <name val="Calibri"/>
      <family val="2"/>
      <scheme val="minor"/>
    </font>
    <font>
      <b/>
      <sz val="14"/>
      <color rgb="FF0070C0"/>
      <name val="Calibri"/>
      <family val="2"/>
      <scheme val="minor"/>
    </font>
    <font>
      <b/>
      <sz val="11"/>
      <color theme="1"/>
      <name val="Arial"/>
      <family val="2"/>
    </font>
    <font>
      <sz val="18"/>
      <color rgb="FFFF0000"/>
      <name val="Calibri"/>
      <family val="2"/>
    </font>
  </fonts>
  <fills count="10">
    <fill>
      <patternFill patternType="none"/>
    </fill>
    <fill>
      <patternFill patternType="gray125"/>
    </fill>
    <fill>
      <patternFill patternType="solid">
        <fgColor theme="0" tint="-4.9989318521683403E-2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theme="9" tint="0.39997558519241921"/>
        <bgColor indexed="64"/>
      </patternFill>
    </fill>
  </fills>
  <borders count="4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theme="0" tint="-0.249977111117893"/>
      </left>
      <right/>
      <top style="thin">
        <color theme="0" tint="-0.249977111117893"/>
      </top>
      <bottom/>
      <diagonal/>
    </border>
    <border>
      <left/>
      <right/>
      <top style="thin">
        <color theme="0" tint="-0.249977111117893"/>
      </top>
      <bottom/>
      <diagonal/>
    </border>
    <border>
      <left/>
      <right style="thin">
        <color theme="0" tint="-0.249977111117893"/>
      </right>
      <top style="thin">
        <color theme="0" tint="-0.249977111117893"/>
      </top>
      <bottom/>
      <diagonal/>
    </border>
    <border>
      <left style="thin">
        <color theme="0" tint="-0.249977111117893"/>
      </left>
      <right/>
      <top/>
      <bottom/>
      <diagonal/>
    </border>
    <border>
      <left/>
      <right style="thin">
        <color theme="0" tint="-0.249977111117893"/>
      </right>
      <top/>
      <bottom/>
      <diagonal/>
    </border>
    <border>
      <left style="thin">
        <color theme="0" tint="-0.249977111117893"/>
      </left>
      <right/>
      <top/>
      <bottom style="thin">
        <color theme="0" tint="-0.249977111117893"/>
      </bottom>
      <diagonal/>
    </border>
    <border>
      <left/>
      <right/>
      <top/>
      <bottom style="thin">
        <color theme="0" tint="-0.249977111117893"/>
      </bottom>
      <diagonal/>
    </border>
    <border>
      <left/>
      <right style="thin">
        <color theme="0" tint="-0.249977111117893"/>
      </right>
      <top/>
      <bottom style="thin">
        <color theme="0" tint="-0.249977111117893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theme="0" tint="-0.249977111117893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/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2">
    <xf numFmtId="0" fontId="0" fillId="0" borderId="0"/>
    <xf numFmtId="43" fontId="5" fillId="0" borderId="0" applyFont="0" applyFill="0" applyBorder="0" applyAlignment="0" applyProtection="0"/>
  </cellStyleXfs>
  <cellXfs count="127">
    <xf numFmtId="0" fontId="0" fillId="0" borderId="0" xfId="0"/>
    <xf numFmtId="0" fontId="0" fillId="0" borderId="1" xfId="0" applyFont="1" applyBorder="1" applyAlignment="1" applyProtection="1">
      <alignment horizontal="center" vertical="center"/>
      <protection locked="0"/>
    </xf>
    <xf numFmtId="165" fontId="3" fillId="0" borderId="1" xfId="0" applyNumberFormat="1" applyFont="1" applyBorder="1" applyAlignment="1" applyProtection="1">
      <alignment horizontal="center" vertical="center"/>
      <protection locked="0"/>
    </xf>
    <xf numFmtId="165" fontId="3" fillId="2" borderId="1" xfId="0" applyNumberFormat="1" applyFont="1" applyFill="1" applyBorder="1" applyAlignment="1" applyProtection="1">
      <alignment horizontal="center" vertical="center"/>
      <protection locked="0"/>
    </xf>
    <xf numFmtId="0" fontId="0" fillId="0" borderId="0" xfId="0" applyAlignment="1">
      <alignment horizontal="right" indent="1"/>
    </xf>
    <xf numFmtId="164" fontId="2" fillId="0" borderId="2" xfId="0" applyNumberFormat="1" applyFont="1" applyBorder="1" applyAlignment="1" applyProtection="1">
      <alignment horizontal="center" vertical="center"/>
      <protection locked="0"/>
    </xf>
    <xf numFmtId="0" fontId="0" fillId="0" borderId="7" xfId="0" applyFont="1" applyBorder="1" applyAlignment="1" applyProtection="1">
      <alignment horizontal="center" vertical="center"/>
      <protection locked="0"/>
    </xf>
    <xf numFmtId="165" fontId="3" fillId="2" borderId="7" xfId="0" applyNumberFormat="1" applyFont="1" applyFill="1" applyBorder="1" applyAlignment="1" applyProtection="1">
      <alignment horizontal="center" vertical="center"/>
      <protection locked="0"/>
    </xf>
    <xf numFmtId="0" fontId="0" fillId="0" borderId="0" xfId="0" applyFill="1" applyAlignment="1">
      <alignment horizontal="center" vertical="center" wrapText="1"/>
    </xf>
    <xf numFmtId="20" fontId="0" fillId="0" borderId="0" xfId="0" applyNumberFormat="1"/>
    <xf numFmtId="167" fontId="0" fillId="0" borderId="0" xfId="0" applyNumberFormat="1"/>
    <xf numFmtId="165" fontId="12" fillId="0" borderId="1" xfId="0" applyNumberFormat="1" applyFont="1" applyBorder="1" applyAlignment="1" applyProtection="1">
      <alignment horizontal="center" vertical="center"/>
      <protection locked="0"/>
    </xf>
    <xf numFmtId="165" fontId="12" fillId="2" borderId="1" xfId="0" applyNumberFormat="1" applyFont="1" applyFill="1" applyBorder="1" applyAlignment="1" applyProtection="1">
      <alignment horizontal="center" vertical="center"/>
      <protection locked="0"/>
    </xf>
    <xf numFmtId="165" fontId="12" fillId="0" borderId="7" xfId="0" applyNumberFormat="1" applyFont="1" applyBorder="1" applyAlignment="1" applyProtection="1">
      <alignment horizontal="center" vertical="center"/>
      <protection locked="0"/>
    </xf>
    <xf numFmtId="165" fontId="12" fillId="2" borderId="7" xfId="0" applyNumberFormat="1" applyFont="1" applyFill="1" applyBorder="1" applyAlignment="1" applyProtection="1">
      <alignment horizontal="center" vertical="center"/>
      <protection locked="0"/>
    </xf>
    <xf numFmtId="0" fontId="0" fillId="0" borderId="0" xfId="0" applyAlignment="1">
      <alignment horizontal="center"/>
    </xf>
    <xf numFmtId="0" fontId="0" fillId="0" borderId="0" xfId="0" applyAlignment="1" applyProtection="1"/>
    <xf numFmtId="0" fontId="1" fillId="0" borderId="0" xfId="0" applyFont="1" applyAlignment="1" applyProtection="1"/>
    <xf numFmtId="0" fontId="7" fillId="0" borderId="0" xfId="0" applyFont="1" applyAlignment="1" applyProtection="1"/>
    <xf numFmtId="0" fontId="0" fillId="0" borderId="0" xfId="0" applyProtection="1"/>
    <xf numFmtId="0" fontId="0" fillId="0" borderId="0" xfId="0" applyAlignment="1" applyProtection="1">
      <alignment horizontal="center"/>
    </xf>
    <xf numFmtId="0" fontId="11" fillId="0" borderId="11" xfId="0" applyFont="1" applyBorder="1" applyAlignment="1" applyProtection="1">
      <alignment vertical="center"/>
    </xf>
    <xf numFmtId="0" fontId="15" fillId="0" borderId="13" xfId="0" applyFont="1" applyBorder="1" applyAlignment="1" applyProtection="1">
      <alignment horizontal="left"/>
    </xf>
    <xf numFmtId="0" fontId="15" fillId="0" borderId="0" xfId="0" applyFont="1" applyBorder="1" applyAlignment="1" applyProtection="1">
      <alignment horizontal="left"/>
    </xf>
    <xf numFmtId="0" fontId="15" fillId="0" borderId="14" xfId="0" applyFont="1" applyBorder="1" applyAlignment="1" applyProtection="1">
      <alignment horizontal="center"/>
    </xf>
    <xf numFmtId="0" fontId="11" fillId="0" borderId="16" xfId="0" applyFont="1" applyBorder="1" applyAlignment="1" applyProtection="1">
      <alignment horizontal="left"/>
    </xf>
    <xf numFmtId="0" fontId="11" fillId="0" borderId="17" xfId="0" applyFont="1" applyBorder="1" applyAlignment="1" applyProtection="1">
      <alignment horizontal="center"/>
    </xf>
    <xf numFmtId="0" fontId="0" fillId="0" borderId="0" xfId="0" applyFill="1" applyBorder="1" applyAlignment="1" applyProtection="1">
      <alignment horizontal="center"/>
    </xf>
    <xf numFmtId="0" fontId="1" fillId="0" borderId="4" xfId="0" applyFont="1" applyFill="1" applyBorder="1" applyAlignment="1" applyProtection="1">
      <alignment horizontal="center" vertical="center" wrapText="1"/>
    </xf>
    <xf numFmtId="0" fontId="1" fillId="0" borderId="5" xfId="0" applyFont="1" applyFill="1" applyBorder="1" applyAlignment="1" applyProtection="1">
      <alignment horizontal="center" vertical="center" wrapText="1"/>
    </xf>
    <xf numFmtId="0" fontId="1" fillId="5" borderId="5" xfId="0" applyFont="1" applyFill="1" applyBorder="1" applyAlignment="1" applyProtection="1">
      <alignment horizontal="center" vertical="center" wrapText="1"/>
    </xf>
    <xf numFmtId="0" fontId="1" fillId="0" borderId="6" xfId="0" applyFont="1" applyFill="1" applyBorder="1" applyAlignment="1" applyProtection="1">
      <alignment horizontal="center" vertical="center" wrapText="1"/>
    </xf>
    <xf numFmtId="43" fontId="3" fillId="5" borderId="1" xfId="1" applyFont="1" applyFill="1" applyBorder="1" applyAlignment="1" applyProtection="1">
      <alignment horizontal="center" vertical="center"/>
    </xf>
    <xf numFmtId="43" fontId="3" fillId="0" borderId="1" xfId="1" applyFont="1" applyFill="1" applyBorder="1" applyAlignment="1" applyProtection="1">
      <alignment horizontal="center" vertical="center"/>
    </xf>
    <xf numFmtId="167" fontId="3" fillId="3" borderId="1" xfId="0" applyNumberFormat="1" applyFont="1" applyFill="1" applyBorder="1" applyAlignment="1" applyProtection="1">
      <alignment horizontal="center" vertical="center"/>
    </xf>
    <xf numFmtId="43" fontId="3" fillId="3" borderId="1" xfId="1" applyFont="1" applyFill="1" applyBorder="1" applyAlignment="1" applyProtection="1">
      <alignment horizontal="center" vertical="center"/>
    </xf>
    <xf numFmtId="43" fontId="3" fillId="3" borderId="3" xfId="1" applyFont="1" applyFill="1" applyBorder="1" applyAlignment="1" applyProtection="1">
      <alignment horizontal="center" vertical="center"/>
    </xf>
    <xf numFmtId="43" fontId="3" fillId="0" borderId="7" xfId="1" applyFont="1" applyFill="1" applyBorder="1" applyAlignment="1" applyProtection="1">
      <alignment horizontal="center" vertical="center"/>
    </xf>
    <xf numFmtId="167" fontId="3" fillId="3" borderId="7" xfId="0" applyNumberFormat="1" applyFont="1" applyFill="1" applyBorder="1" applyAlignment="1" applyProtection="1">
      <alignment horizontal="center" vertical="center"/>
    </xf>
    <xf numFmtId="43" fontId="3" fillId="3" borderId="7" xfId="1" applyFont="1" applyFill="1" applyBorder="1" applyAlignment="1" applyProtection="1">
      <alignment horizontal="center" vertical="center"/>
    </xf>
    <xf numFmtId="43" fontId="3" fillId="3" borderId="8" xfId="1" applyFont="1" applyFill="1" applyBorder="1" applyAlignment="1" applyProtection="1">
      <alignment horizontal="center" vertical="center"/>
    </xf>
    <xf numFmtId="43" fontId="12" fillId="5" borderId="1" xfId="1" applyNumberFormat="1" applyFont="1" applyFill="1" applyBorder="1" applyAlignment="1" applyProtection="1">
      <alignment horizontal="center" vertical="center"/>
    </xf>
    <xf numFmtId="43" fontId="12" fillId="0" borderId="1" xfId="1" applyNumberFormat="1" applyFont="1" applyFill="1" applyBorder="1" applyAlignment="1" applyProtection="1">
      <alignment horizontal="center" vertical="center"/>
    </xf>
    <xf numFmtId="167" fontId="12" fillId="3" borderId="3" xfId="0" applyNumberFormat="1" applyFont="1" applyFill="1" applyBorder="1" applyAlignment="1" applyProtection="1">
      <alignment horizontal="center" vertical="center"/>
    </xf>
    <xf numFmtId="167" fontId="12" fillId="3" borderId="30" xfId="0" applyNumberFormat="1" applyFont="1" applyFill="1" applyBorder="1" applyAlignment="1" applyProtection="1">
      <alignment horizontal="center" vertical="center"/>
    </xf>
    <xf numFmtId="43" fontId="12" fillId="3" borderId="30" xfId="1" applyNumberFormat="1" applyFont="1" applyFill="1" applyBorder="1" applyAlignment="1" applyProtection="1">
      <alignment horizontal="center" vertical="center"/>
    </xf>
    <xf numFmtId="43" fontId="12" fillId="5" borderId="7" xfId="1" applyNumberFormat="1" applyFont="1" applyFill="1" applyBorder="1" applyAlignment="1" applyProtection="1">
      <alignment horizontal="center" vertical="center"/>
    </xf>
    <xf numFmtId="43" fontId="12" fillId="0" borderId="7" xfId="1" applyNumberFormat="1" applyFont="1" applyFill="1" applyBorder="1" applyAlignment="1" applyProtection="1">
      <alignment horizontal="center" vertical="center"/>
    </xf>
    <xf numFmtId="167" fontId="12" fillId="3" borderId="8" xfId="0" applyNumberFormat="1" applyFont="1" applyFill="1" applyBorder="1" applyAlignment="1" applyProtection="1">
      <alignment horizontal="center" vertical="center"/>
    </xf>
    <xf numFmtId="167" fontId="12" fillId="3" borderId="9" xfId="0" applyNumberFormat="1" applyFont="1" applyFill="1" applyBorder="1" applyAlignment="1" applyProtection="1">
      <alignment horizontal="center" vertical="center"/>
    </xf>
    <xf numFmtId="43" fontId="12" fillId="3" borderId="9" xfId="1" applyNumberFormat="1" applyFont="1" applyFill="1" applyBorder="1" applyAlignment="1" applyProtection="1">
      <alignment horizontal="center" vertical="center"/>
    </xf>
    <xf numFmtId="43" fontId="3" fillId="5" borderId="1" xfId="1" applyNumberFormat="1" applyFont="1" applyFill="1" applyBorder="1" applyAlignment="1" applyProtection="1">
      <alignment horizontal="center" vertical="center"/>
    </xf>
    <xf numFmtId="43" fontId="3" fillId="0" borderId="1" xfId="1" applyNumberFormat="1" applyFont="1" applyFill="1" applyBorder="1" applyAlignment="1" applyProtection="1">
      <alignment horizontal="center" vertical="center"/>
    </xf>
    <xf numFmtId="167" fontId="3" fillId="3" borderId="3" xfId="0" applyNumberFormat="1" applyFont="1" applyFill="1" applyBorder="1" applyAlignment="1" applyProtection="1">
      <alignment horizontal="center" vertical="center"/>
    </xf>
    <xf numFmtId="167" fontId="3" fillId="3" borderId="30" xfId="0" applyNumberFormat="1" applyFont="1" applyFill="1" applyBorder="1" applyAlignment="1" applyProtection="1">
      <alignment horizontal="center" vertical="center"/>
    </xf>
    <xf numFmtId="43" fontId="3" fillId="3" borderId="30" xfId="1" applyNumberFormat="1" applyFont="1" applyFill="1" applyBorder="1" applyAlignment="1" applyProtection="1">
      <alignment horizontal="center" vertical="center"/>
    </xf>
    <xf numFmtId="0" fontId="0" fillId="0" borderId="0" xfId="0" applyBorder="1" applyProtection="1"/>
    <xf numFmtId="2" fontId="9" fillId="5" borderId="21" xfId="0" applyNumberFormat="1" applyFont="1" applyFill="1" applyBorder="1" applyAlignment="1" applyProtection="1">
      <alignment horizontal="center" vertical="center"/>
    </xf>
    <xf numFmtId="2" fontId="10" fillId="0" borderId="21" xfId="0" applyNumberFormat="1" applyFont="1" applyBorder="1" applyAlignment="1" applyProtection="1">
      <alignment horizontal="center" vertical="center"/>
    </xf>
    <xf numFmtId="0" fontId="11" fillId="0" borderId="15" xfId="0" applyFont="1" applyBorder="1" applyAlignment="1" applyProtection="1">
      <alignment vertical="center"/>
    </xf>
    <xf numFmtId="0" fontId="3" fillId="0" borderId="1" xfId="0" applyFont="1" applyBorder="1" applyAlignment="1" applyProtection="1">
      <alignment horizontal="center" vertical="center"/>
      <protection locked="0"/>
    </xf>
    <xf numFmtId="0" fontId="0" fillId="0" borderId="0" xfId="0" applyBorder="1" applyAlignment="1" applyProtection="1">
      <alignment horizontal="center"/>
    </xf>
    <xf numFmtId="0" fontId="0" fillId="0" borderId="0" xfId="0" applyBorder="1" applyAlignment="1" applyProtection="1">
      <alignment horizontal="center"/>
    </xf>
    <xf numFmtId="0" fontId="0" fillId="0" borderId="0" xfId="0" applyAlignment="1">
      <alignment horizontal="center" vertical="center"/>
    </xf>
    <xf numFmtId="168" fontId="14" fillId="0" borderId="11" xfId="0" applyNumberFormat="1" applyFont="1" applyBorder="1" applyAlignment="1" applyProtection="1"/>
    <xf numFmtId="20" fontId="16" fillId="7" borderId="1" xfId="0" applyNumberFormat="1" applyFont="1" applyFill="1" applyBorder="1" applyAlignment="1">
      <alignment horizontal="center" vertical="center"/>
    </xf>
    <xf numFmtId="0" fontId="4" fillId="0" borderId="1" xfId="0" applyFont="1" applyFill="1" applyBorder="1" applyAlignment="1">
      <alignment horizontal="center"/>
    </xf>
    <xf numFmtId="0" fontId="3" fillId="0" borderId="1" xfId="0" applyFont="1" applyBorder="1" applyAlignment="1">
      <alignment horizontal="right" indent="1"/>
    </xf>
    <xf numFmtId="166" fontId="3" fillId="0" borderId="1" xfId="0" applyNumberFormat="1" applyFont="1" applyFill="1" applyBorder="1" applyAlignment="1">
      <alignment horizontal="center"/>
    </xf>
    <xf numFmtId="166" fontId="3" fillId="3" borderId="1" xfId="0" applyNumberFormat="1" applyFont="1" applyFill="1" applyBorder="1" applyAlignment="1">
      <alignment horizontal="center"/>
    </xf>
    <xf numFmtId="0" fontId="3" fillId="0" borderId="1" xfId="0" applyFont="1" applyBorder="1" applyAlignment="1">
      <alignment horizontal="center"/>
    </xf>
    <xf numFmtId="0" fontId="18" fillId="7" borderId="1" xfId="0" applyFont="1" applyFill="1" applyBorder="1" applyAlignment="1">
      <alignment horizontal="center" vertical="center"/>
    </xf>
    <xf numFmtId="0" fontId="0" fillId="2" borderId="1" xfId="0" applyFont="1" applyFill="1" applyBorder="1" applyAlignment="1" applyProtection="1">
      <alignment horizontal="center" vertical="center"/>
    </xf>
    <xf numFmtId="0" fontId="0" fillId="0" borderId="0" xfId="0" applyFill="1" applyBorder="1" applyAlignment="1">
      <alignment horizontal="center" vertical="center"/>
    </xf>
    <xf numFmtId="0" fontId="21" fillId="0" borderId="0" xfId="0" applyFont="1" applyFill="1" applyBorder="1" applyAlignment="1">
      <alignment horizontal="center" vertical="center"/>
    </xf>
    <xf numFmtId="169" fontId="21" fillId="0" borderId="0" xfId="0" applyNumberFormat="1" applyFont="1" applyFill="1" applyBorder="1" applyAlignment="1">
      <alignment horizontal="center" vertical="center"/>
    </xf>
    <xf numFmtId="0" fontId="0" fillId="0" borderId="0" xfId="0" applyFill="1" applyBorder="1"/>
    <xf numFmtId="0" fontId="1" fillId="0" borderId="32" xfId="0" applyFont="1" applyFill="1" applyBorder="1" applyAlignment="1">
      <alignment horizontal="center" vertical="center" wrapText="1"/>
    </xf>
    <xf numFmtId="0" fontId="0" fillId="0" borderId="33" xfId="0" applyNumberFormat="1" applyFill="1" applyBorder="1" applyAlignment="1">
      <alignment horizontal="center" vertical="center"/>
    </xf>
    <xf numFmtId="0" fontId="1" fillId="0" borderId="34" xfId="0" applyFont="1" applyFill="1" applyBorder="1" applyAlignment="1">
      <alignment horizontal="center" vertical="center" wrapText="1"/>
    </xf>
    <xf numFmtId="0" fontId="1" fillId="0" borderId="35" xfId="0" applyFont="1" applyFill="1" applyBorder="1" applyAlignment="1">
      <alignment horizontal="center" vertical="center" wrapText="1"/>
    </xf>
    <xf numFmtId="165" fontId="22" fillId="0" borderId="36" xfId="0" applyNumberFormat="1" applyFont="1" applyFill="1" applyBorder="1" applyAlignment="1">
      <alignment horizontal="center" vertical="center"/>
    </xf>
    <xf numFmtId="2" fontId="0" fillId="0" borderId="37" xfId="0" applyNumberFormat="1" applyFill="1" applyBorder="1" applyAlignment="1">
      <alignment horizontal="center" vertical="center"/>
    </xf>
    <xf numFmtId="165" fontId="22" fillId="0" borderId="38" xfId="0" applyNumberFormat="1" applyFont="1" applyFill="1" applyBorder="1" applyAlignment="1">
      <alignment horizontal="center" vertical="center"/>
    </xf>
    <xf numFmtId="0" fontId="1" fillId="0" borderId="33" xfId="0" applyFont="1" applyFill="1" applyBorder="1" applyAlignment="1">
      <alignment horizontal="center" vertical="center"/>
    </xf>
    <xf numFmtId="0" fontId="19" fillId="0" borderId="21" xfId="0" applyFont="1" applyFill="1" applyBorder="1" applyAlignment="1">
      <alignment horizontal="center" vertical="center"/>
    </xf>
    <xf numFmtId="0" fontId="20" fillId="0" borderId="21" xfId="0" applyNumberFormat="1" applyFont="1" applyFill="1" applyBorder="1" applyAlignment="1">
      <alignment horizontal="center" vertical="center"/>
    </xf>
    <xf numFmtId="169" fontId="23" fillId="0" borderId="43" xfId="0" applyNumberFormat="1" applyFont="1" applyFill="1" applyBorder="1" applyAlignment="1">
      <alignment horizontal="center" vertical="center"/>
    </xf>
    <xf numFmtId="2" fontId="20" fillId="0" borderId="44" xfId="0" applyNumberFormat="1" applyFont="1" applyFill="1" applyBorder="1" applyAlignment="1">
      <alignment horizontal="center" vertical="center"/>
    </xf>
    <xf numFmtId="0" fontId="0" fillId="8" borderId="39" xfId="0" applyFill="1" applyBorder="1" applyAlignment="1">
      <alignment horizontal="center" vertical="center"/>
    </xf>
    <xf numFmtId="0" fontId="0" fillId="8" borderId="40" xfId="0" applyFill="1" applyBorder="1" applyAlignment="1">
      <alignment horizontal="center" vertical="center"/>
    </xf>
    <xf numFmtId="0" fontId="0" fillId="8" borderId="41" xfId="0" applyFill="1" applyBorder="1" applyAlignment="1">
      <alignment horizontal="center" vertical="center"/>
    </xf>
    <xf numFmtId="0" fontId="0" fillId="8" borderId="42" xfId="0" applyFill="1" applyBorder="1" applyAlignment="1">
      <alignment horizontal="center" vertical="center"/>
    </xf>
    <xf numFmtId="0" fontId="0" fillId="9" borderId="1" xfId="0" applyFill="1" applyBorder="1" applyAlignment="1">
      <alignment horizontal="center" vertical="center"/>
    </xf>
    <xf numFmtId="20" fontId="0" fillId="9" borderId="1" xfId="0" applyNumberFormat="1" applyFill="1" applyBorder="1" applyAlignment="1">
      <alignment horizontal="center" vertical="center"/>
    </xf>
    <xf numFmtId="0" fontId="11" fillId="0" borderId="10" xfId="0" applyFont="1" applyBorder="1" applyAlignment="1" applyProtection="1">
      <alignment vertical="center"/>
    </xf>
    <xf numFmtId="0" fontId="13" fillId="0" borderId="11" xfId="0" applyFont="1" applyBorder="1" applyAlignment="1" applyProtection="1">
      <alignment horizontal="left" vertical="center"/>
    </xf>
    <xf numFmtId="168" fontId="14" fillId="0" borderId="12" xfId="0" applyNumberFormat="1" applyFont="1" applyBorder="1" applyAlignment="1" applyProtection="1"/>
    <xf numFmtId="0" fontId="13" fillId="0" borderId="16" xfId="0" applyFont="1" applyBorder="1" applyAlignment="1" applyProtection="1">
      <alignment horizontal="left" vertical="center"/>
    </xf>
    <xf numFmtId="0" fontId="13" fillId="0" borderId="11" xfId="0" applyFont="1" applyBorder="1" applyAlignment="1" applyProtection="1">
      <alignment vertical="center"/>
    </xf>
    <xf numFmtId="0" fontId="17" fillId="6" borderId="21" xfId="0" applyFont="1" applyFill="1" applyBorder="1" applyAlignment="1">
      <alignment horizontal="center" vertical="center"/>
    </xf>
    <xf numFmtId="0" fontId="6" fillId="0" borderId="0" xfId="0" applyFont="1" applyAlignment="1" applyProtection="1">
      <alignment horizontal="left" vertical="center" wrapText="1"/>
    </xf>
    <xf numFmtId="0" fontId="8" fillId="0" borderId="0" xfId="0" applyFont="1" applyAlignment="1" applyProtection="1">
      <alignment horizontal="center" vertical="center"/>
    </xf>
    <xf numFmtId="0" fontId="8" fillId="0" borderId="16" xfId="0" applyFont="1" applyBorder="1" applyAlignment="1" applyProtection="1">
      <alignment horizontal="center" vertical="center"/>
    </xf>
    <xf numFmtId="0" fontId="13" fillId="0" borderId="11" xfId="0" applyFont="1" applyBorder="1" applyAlignment="1" applyProtection="1">
      <alignment horizontal="center" vertical="center"/>
    </xf>
    <xf numFmtId="0" fontId="11" fillId="0" borderId="11" xfId="0" applyFont="1" applyBorder="1" applyAlignment="1" applyProtection="1">
      <alignment horizontal="center" vertical="center"/>
    </xf>
    <xf numFmtId="0" fontId="11" fillId="0" borderId="11" xfId="0" applyFont="1" applyBorder="1" applyAlignment="1" applyProtection="1">
      <alignment horizontal="left"/>
    </xf>
    <xf numFmtId="0" fontId="24" fillId="0" borderId="0" xfId="0" applyFont="1" applyAlignment="1" applyProtection="1">
      <alignment horizontal="left" vertical="center"/>
    </xf>
    <xf numFmtId="0" fontId="0" fillId="4" borderId="1" xfId="0" applyFont="1" applyFill="1" applyBorder="1" applyAlignment="1" applyProtection="1">
      <alignment horizontal="center" vertical="center" wrapText="1"/>
    </xf>
    <xf numFmtId="0" fontId="0" fillId="0" borderId="1" xfId="0" applyFont="1" applyBorder="1" applyAlignment="1" applyProtection="1">
      <alignment horizontal="center" vertical="top"/>
    </xf>
    <xf numFmtId="0" fontId="0" fillId="2" borderId="1" xfId="0" applyFont="1" applyFill="1" applyBorder="1" applyAlignment="1" applyProtection="1">
      <alignment horizontal="center" vertical="center"/>
    </xf>
    <xf numFmtId="0" fontId="0" fillId="0" borderId="1" xfId="0" applyFont="1" applyBorder="1" applyAlignment="1" applyProtection="1">
      <alignment horizontal="center" vertical="center"/>
    </xf>
    <xf numFmtId="2" fontId="0" fillId="5" borderId="1" xfId="0" applyNumberFormat="1" applyFont="1" applyFill="1" applyBorder="1" applyAlignment="1" applyProtection="1">
      <alignment horizontal="center" vertical="center"/>
    </xf>
    <xf numFmtId="0" fontId="1" fillId="0" borderId="18" xfId="0" applyFont="1" applyBorder="1" applyAlignment="1" applyProtection="1">
      <alignment horizontal="center" vertical="center"/>
    </xf>
    <xf numFmtId="0" fontId="1" fillId="0" borderId="19" xfId="0" applyFont="1" applyBorder="1" applyAlignment="1" applyProtection="1">
      <alignment horizontal="center" vertical="center"/>
    </xf>
    <xf numFmtId="0" fontId="1" fillId="0" borderId="20" xfId="0" applyFont="1" applyBorder="1" applyAlignment="1" applyProtection="1">
      <alignment horizontal="center" vertical="center"/>
    </xf>
    <xf numFmtId="0" fontId="11" fillId="0" borderId="28" xfId="0" applyFont="1" applyBorder="1" applyAlignment="1" applyProtection="1">
      <alignment horizontal="center"/>
    </xf>
    <xf numFmtId="0" fontId="11" fillId="0" borderId="31" xfId="0" applyFont="1" applyBorder="1" applyAlignment="1" applyProtection="1">
      <alignment horizontal="center"/>
    </xf>
    <xf numFmtId="0" fontId="0" fillId="0" borderId="22" xfId="0" applyBorder="1" applyAlignment="1" applyProtection="1">
      <alignment horizontal="center"/>
    </xf>
    <xf numFmtId="0" fontId="0" fillId="0" borderId="23" xfId="0" applyBorder="1" applyAlignment="1" applyProtection="1">
      <alignment horizontal="center"/>
    </xf>
    <xf numFmtId="0" fontId="0" fillId="0" borderId="24" xfId="0" applyBorder="1" applyAlignment="1" applyProtection="1">
      <alignment horizontal="center"/>
    </xf>
    <xf numFmtId="0" fontId="0" fillId="0" borderId="25" xfId="0" applyBorder="1" applyAlignment="1" applyProtection="1">
      <alignment horizontal="center"/>
    </xf>
    <xf numFmtId="0" fontId="0" fillId="0" borderId="0" xfId="0" applyBorder="1" applyAlignment="1" applyProtection="1">
      <alignment horizontal="center"/>
    </xf>
    <xf numFmtId="0" fontId="0" fillId="0" borderId="26" xfId="0" applyBorder="1" applyAlignment="1" applyProtection="1">
      <alignment horizontal="center"/>
    </xf>
    <xf numFmtId="0" fontId="0" fillId="0" borderId="27" xfId="0" applyBorder="1" applyAlignment="1" applyProtection="1">
      <alignment horizontal="center"/>
    </xf>
    <xf numFmtId="0" fontId="0" fillId="0" borderId="28" xfId="0" applyBorder="1" applyAlignment="1" applyProtection="1">
      <alignment horizontal="center"/>
    </xf>
    <xf numFmtId="0" fontId="0" fillId="0" borderId="29" xfId="0" applyBorder="1" applyAlignment="1" applyProtection="1">
      <alignment horizontal="center"/>
    </xf>
  </cellXfs>
  <cellStyles count="2">
    <cellStyle name="Milliers" xfId="1" builtinId="3"/>
    <cellStyle name="Normal" xfId="0" builtinId="0"/>
  </cellStyles>
  <dxfs count="292"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35" formatCode="_-* #,##0.00\ _€_-;\-* #,##0.00\ _€_-;_-* &quot;-&quot;??\ _€_-;_-@_-"/>
      <fill>
        <patternFill patternType="solid">
          <fgColor indexed="64"/>
          <bgColor theme="4" tint="0.79998168889431442"/>
        </patternFill>
      </fill>
      <alignment horizontal="center" vertical="center" textRotation="0" wrapText="0" indent="0" justifyLastLine="0" shrinkToFit="0" readingOrder="0"/>
      <border diagonalUp="0" diagonalDown="0">
        <left/>
        <right/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35" formatCode="_-* #,##0.00\ _€_-;\-* #,##0.00\ _€_-;_-* &quot;-&quot;??\ _€_-;_-@_-"/>
      <fill>
        <patternFill patternType="solid">
          <fgColor indexed="64"/>
          <bgColor theme="4" tint="0.79998168889431442"/>
        </patternFill>
      </fill>
      <alignment horizontal="center" vertical="center" textRotation="0" wrapText="0" indent="0" justifyLastLine="0" shrinkToFit="0" readingOrder="0"/>
      <border diagonalUp="0" diagonalDown="0">
        <left/>
        <right/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35" formatCode="_-* #,##0.00\ _€_-;\-* #,##0.00\ _€_-;_-* &quot;-&quot;??\ _€_-;_-@_-"/>
      <fill>
        <patternFill patternType="solid">
          <fgColor indexed="64"/>
          <bgColor theme="4" tint="0.79998168889431442"/>
        </patternFill>
      </fill>
      <alignment horizontal="center" vertical="center" textRotation="0" wrapText="0" indent="0" justifyLastLine="0" shrinkToFit="0" readingOrder="0"/>
      <border diagonalUp="0" diagonalDown="0">
        <left/>
        <right/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35" formatCode="_-* #,##0.00\ _€_-;\-* #,##0.00\ _€_-;_-* &quot;-&quot;??\ _€_-;_-@_-"/>
      <fill>
        <patternFill patternType="solid">
          <fgColor indexed="64"/>
          <bgColor theme="4" tint="0.79998168889431442"/>
        </patternFill>
      </fill>
      <alignment horizontal="center" vertical="center" textRotation="0" wrapText="0" indent="0" justifyLastLine="0" shrinkToFit="0" readingOrder="0"/>
      <border diagonalUp="0" diagonalDown="0">
        <left/>
        <right/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35" formatCode="_-* #,##0.00\ _€_-;\-* #,##0.00\ _€_-;_-* &quot;-&quot;??\ _€_-;_-@_-"/>
      <fill>
        <patternFill patternType="solid">
          <fgColor indexed="64"/>
          <bgColor theme="4" tint="0.79998168889431442"/>
        </patternFill>
      </fill>
      <alignment horizontal="center" vertical="center" textRotation="0" wrapText="0" indent="0" justifyLastLine="0" shrinkToFit="0" readingOrder="0"/>
      <border diagonalUp="0" diagonalDown="0">
        <left/>
        <right/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35" formatCode="_-* #,##0.00\ _€_-;\-* #,##0.00\ _€_-;_-* &quot;-&quot;??\ _€_-;_-@_-"/>
      <fill>
        <patternFill patternType="solid">
          <fgColor indexed="64"/>
          <bgColor theme="4" tint="0.7999816888943144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167" formatCode="d\ hh:mm"/>
      <fill>
        <patternFill patternType="solid">
          <fgColor indexed="64"/>
          <bgColor theme="4" tint="0.79998168889431442"/>
        </patternFill>
      </fill>
      <alignment horizontal="center" vertical="center" textRotation="0" wrapText="0" indent="0" justifyLastLine="0" shrinkToFit="0" readingOrder="0"/>
      <border diagonalUp="0" diagonalDown="0">
        <left/>
        <right/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167" formatCode="d\ hh:mm"/>
      <fill>
        <patternFill patternType="solid">
          <fgColor indexed="64"/>
          <bgColor theme="4" tint="0.79998168889431442"/>
        </patternFill>
      </fill>
      <alignment horizontal="center" vertical="center" textRotation="0" wrapText="0" indent="0" justifyLastLine="0" shrinkToFit="0" readingOrder="0"/>
      <border diagonalUp="0" diagonalDown="0">
        <left/>
        <right/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167" formatCode="d\ hh:mm"/>
      <fill>
        <patternFill patternType="solid">
          <fgColor indexed="64"/>
          <bgColor theme="4" tint="0.7999816888943144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35" formatCode="_-* #,##0.00\ _€_-;\-* #,##0.00\ _€_-;_-* &quot;-&quot;??\ _€_-;_-@_-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35" formatCode="_-* #,##0.00\ _€_-;\-* #,##0.00\ _€_-;_-* &quot;-&quot;??\ _€_-;_-@_-"/>
      <fill>
        <patternFill patternType="solid">
          <fgColor indexed="64"/>
          <bgColor theme="5" tint="0.7999816888943144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165" formatCode="h:mm;@"/>
      <fill>
        <patternFill patternType="solid">
          <fgColor indexed="64"/>
          <bgColor theme="0" tint="-4.9989318521683403E-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165" formatCode="h:mm;@"/>
      <fill>
        <patternFill patternType="solid">
          <fgColor indexed="64"/>
          <bgColor theme="0" tint="-4.9989318521683403E-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165" formatCode="h:mm;@"/>
      <fill>
        <patternFill patternType="solid">
          <fgColor indexed="64"/>
          <bgColor theme="0" tint="-4.9989318521683403E-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165" formatCode="h:mm;@"/>
      <fill>
        <patternFill patternType="solid">
          <fgColor indexed="64"/>
          <bgColor theme="0" tint="-4.9989318521683403E-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165" formatCode="h:mm;@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165" formatCode="h:mm;@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numFmt numFmtId="164" formatCode="[$-F800]dddd\,\ mmmm\ dd\,\ yyyy"/>
      <alignment horizontal="center" vertical="center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border outline="0">
        <top style="thin">
          <color rgb="FF000000"/>
        </top>
      </border>
    </dxf>
    <dxf>
      <border outline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Calibri"/>
        <scheme val="none"/>
      </font>
      <fill>
        <patternFill patternType="solid">
          <fgColor rgb="FF000000"/>
          <bgColor rgb="FFF2F2F2"/>
        </patternFill>
      </fill>
      <alignment horizontal="center" vertical="center" textRotation="0" wrapText="0" indent="0" justifyLastLine="0" shrinkToFit="0" readingOrder="0"/>
      <protection locked="1" hidden="0"/>
    </dxf>
    <dxf>
      <border outline="0">
        <bottom style="thin">
          <color rgb="FF000000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35" formatCode="_-* #,##0.00\ _€_-;\-* #,##0.00\ _€_-;_-* &quot;-&quot;??\ _€_-;_-@_-"/>
      <fill>
        <patternFill patternType="solid">
          <fgColor indexed="64"/>
          <bgColor theme="4" tint="0.79998168889431442"/>
        </patternFill>
      </fill>
      <alignment horizontal="center" vertical="center" textRotation="0" wrapText="0" indent="0" justifyLastLine="0" shrinkToFit="0" readingOrder="0"/>
      <border diagonalUp="0" diagonalDown="0">
        <left/>
        <right/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35" formatCode="_-* #,##0.00\ _€_-;\-* #,##0.00\ _€_-;_-* &quot;-&quot;??\ _€_-;_-@_-"/>
      <fill>
        <patternFill patternType="solid">
          <fgColor indexed="64"/>
          <bgColor theme="4" tint="0.79998168889431442"/>
        </patternFill>
      </fill>
      <alignment horizontal="center" vertical="center" textRotation="0" wrapText="0" indent="0" justifyLastLine="0" shrinkToFit="0" readingOrder="0"/>
      <border diagonalUp="0" diagonalDown="0">
        <left/>
        <right/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35" formatCode="_-* #,##0.00\ _€_-;\-* #,##0.00\ _€_-;_-* &quot;-&quot;??\ _€_-;_-@_-"/>
      <fill>
        <patternFill patternType="solid">
          <fgColor indexed="64"/>
          <bgColor theme="4" tint="0.79998168889431442"/>
        </patternFill>
      </fill>
      <alignment horizontal="center" vertical="center" textRotation="0" wrapText="0" indent="0" justifyLastLine="0" shrinkToFit="0" readingOrder="0"/>
      <border diagonalUp="0" diagonalDown="0">
        <left/>
        <right/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35" formatCode="_-* #,##0.00\ _€_-;\-* #,##0.00\ _€_-;_-* &quot;-&quot;??\ _€_-;_-@_-"/>
      <fill>
        <patternFill patternType="solid">
          <fgColor indexed="64"/>
          <bgColor theme="4" tint="0.79998168889431442"/>
        </patternFill>
      </fill>
      <alignment horizontal="center" vertical="center" textRotation="0" wrapText="0" indent="0" justifyLastLine="0" shrinkToFit="0" readingOrder="0"/>
      <border diagonalUp="0" diagonalDown="0">
        <left/>
        <right/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35" formatCode="_-* #,##0.00\ _€_-;\-* #,##0.00\ _€_-;_-* &quot;-&quot;??\ _€_-;_-@_-"/>
      <fill>
        <patternFill patternType="solid">
          <fgColor indexed="64"/>
          <bgColor theme="4" tint="0.79998168889431442"/>
        </patternFill>
      </fill>
      <alignment horizontal="center" vertical="center" textRotation="0" wrapText="0" indent="0" justifyLastLine="0" shrinkToFit="0" readingOrder="0"/>
      <border diagonalUp="0" diagonalDown="0">
        <left/>
        <right/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35" formatCode="_-* #,##0.00\ _€_-;\-* #,##0.00\ _€_-;_-* &quot;-&quot;??\ _€_-;_-@_-"/>
      <fill>
        <patternFill patternType="solid">
          <fgColor indexed="64"/>
          <bgColor theme="4" tint="0.7999816888943144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167" formatCode="d\ hh:mm"/>
      <fill>
        <patternFill patternType="solid">
          <fgColor indexed="64"/>
          <bgColor theme="4" tint="0.79998168889431442"/>
        </patternFill>
      </fill>
      <alignment horizontal="center" vertical="center" textRotation="0" wrapText="0" indent="0" justifyLastLine="0" shrinkToFit="0" readingOrder="0"/>
      <border diagonalUp="0" diagonalDown="0">
        <left/>
        <right/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167" formatCode="d\ hh:mm"/>
      <fill>
        <patternFill patternType="solid">
          <fgColor indexed="64"/>
          <bgColor theme="4" tint="0.79998168889431442"/>
        </patternFill>
      </fill>
      <alignment horizontal="center" vertical="center" textRotation="0" wrapText="0" indent="0" justifyLastLine="0" shrinkToFit="0" readingOrder="0"/>
      <border diagonalUp="0" diagonalDown="0">
        <left/>
        <right/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167" formatCode="d\ hh:mm"/>
      <fill>
        <patternFill patternType="solid">
          <fgColor indexed="64"/>
          <bgColor theme="4" tint="0.7999816888943144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35" formatCode="_-* #,##0.00\ _€_-;\-* #,##0.00\ _€_-;_-* &quot;-&quot;??\ _€_-;_-@_-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35" formatCode="_-* #,##0.00\ _€_-;\-* #,##0.00\ _€_-;_-* &quot;-&quot;??\ _€_-;_-@_-"/>
      <fill>
        <patternFill patternType="solid">
          <fgColor indexed="64"/>
          <bgColor theme="5" tint="0.7999816888943144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165" formatCode="h:mm;@"/>
      <fill>
        <patternFill patternType="solid">
          <fgColor indexed="64"/>
          <bgColor theme="0" tint="-4.9989318521683403E-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165" formatCode="h:mm;@"/>
      <fill>
        <patternFill patternType="solid">
          <fgColor indexed="64"/>
          <bgColor theme="0" tint="-4.9989318521683403E-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165" formatCode="h:mm;@"/>
      <fill>
        <patternFill patternType="solid">
          <fgColor indexed="64"/>
          <bgColor theme="0" tint="-4.9989318521683403E-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165" formatCode="h:mm;@"/>
      <fill>
        <patternFill patternType="solid">
          <fgColor indexed="64"/>
          <bgColor theme="0" tint="-4.9989318521683403E-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165" formatCode="h:mm;@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165" formatCode="h:mm;@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numFmt numFmtId="164" formatCode="[$-F800]dddd\,\ mmmm\ dd\,\ yyyy"/>
      <alignment horizontal="center" vertical="center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border outline="0">
        <top style="thin">
          <color rgb="FF000000"/>
        </top>
      </border>
    </dxf>
    <dxf>
      <border outline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Calibri"/>
        <scheme val="none"/>
      </font>
      <fill>
        <patternFill patternType="solid">
          <fgColor rgb="FF000000"/>
          <bgColor rgb="FFF2F2F2"/>
        </patternFill>
      </fill>
      <alignment horizontal="center" vertical="center" textRotation="0" wrapText="0" indent="0" justifyLastLine="0" shrinkToFit="0" readingOrder="0"/>
      <protection locked="1" hidden="0"/>
    </dxf>
    <dxf>
      <border outline="0">
        <bottom style="thin">
          <color rgb="FF000000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35" formatCode="_-* #,##0.00\ _€_-;\-* #,##0.00\ _€_-;_-* &quot;-&quot;??\ _€_-;_-@_-"/>
      <fill>
        <patternFill patternType="solid">
          <fgColor indexed="64"/>
          <bgColor theme="4" tint="0.79998168889431442"/>
        </patternFill>
      </fill>
      <alignment horizontal="center" vertical="center" textRotation="0" wrapText="0" indent="0" justifyLastLine="0" shrinkToFit="0" readingOrder="0"/>
      <border diagonalUp="0" diagonalDown="0">
        <left/>
        <right/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35" formatCode="_-* #,##0.00\ _€_-;\-* #,##0.00\ _€_-;_-* &quot;-&quot;??\ _€_-;_-@_-"/>
      <fill>
        <patternFill patternType="solid">
          <fgColor indexed="64"/>
          <bgColor theme="4" tint="0.79998168889431442"/>
        </patternFill>
      </fill>
      <alignment horizontal="center" vertical="center" textRotation="0" wrapText="0" indent="0" justifyLastLine="0" shrinkToFit="0" readingOrder="0"/>
      <border diagonalUp="0" diagonalDown="0">
        <left/>
        <right/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35" formatCode="_-* #,##0.00\ _€_-;\-* #,##0.00\ _€_-;_-* &quot;-&quot;??\ _€_-;_-@_-"/>
      <fill>
        <patternFill patternType="solid">
          <fgColor indexed="64"/>
          <bgColor theme="4" tint="0.79998168889431442"/>
        </patternFill>
      </fill>
      <alignment horizontal="center" vertical="center" textRotation="0" wrapText="0" indent="0" justifyLastLine="0" shrinkToFit="0" readingOrder="0"/>
      <border diagonalUp="0" diagonalDown="0">
        <left/>
        <right/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35" formatCode="_-* #,##0.00\ _€_-;\-* #,##0.00\ _€_-;_-* &quot;-&quot;??\ _€_-;_-@_-"/>
      <fill>
        <patternFill patternType="solid">
          <fgColor indexed="64"/>
          <bgColor theme="4" tint="0.79998168889431442"/>
        </patternFill>
      </fill>
      <alignment horizontal="center" vertical="center" textRotation="0" wrapText="0" indent="0" justifyLastLine="0" shrinkToFit="0" readingOrder="0"/>
      <border diagonalUp="0" diagonalDown="0">
        <left/>
        <right/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35" formatCode="_-* #,##0.00\ _€_-;\-* #,##0.00\ _€_-;_-* &quot;-&quot;??\ _€_-;_-@_-"/>
      <fill>
        <patternFill patternType="solid">
          <fgColor indexed="64"/>
          <bgColor theme="4" tint="0.79998168889431442"/>
        </patternFill>
      </fill>
      <alignment horizontal="center" vertical="center" textRotation="0" wrapText="0" indent="0" justifyLastLine="0" shrinkToFit="0" readingOrder="0"/>
      <border diagonalUp="0" diagonalDown="0">
        <left/>
        <right/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35" formatCode="_-* #,##0.00\ _€_-;\-* #,##0.00\ _€_-;_-* &quot;-&quot;??\ _€_-;_-@_-"/>
      <fill>
        <patternFill patternType="solid">
          <fgColor indexed="64"/>
          <bgColor theme="4" tint="0.7999816888943144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167" formatCode="d\ hh:mm"/>
      <fill>
        <patternFill patternType="solid">
          <fgColor indexed="64"/>
          <bgColor theme="4" tint="0.79998168889431442"/>
        </patternFill>
      </fill>
      <alignment horizontal="center" vertical="center" textRotation="0" wrapText="0" indent="0" justifyLastLine="0" shrinkToFit="0" readingOrder="0"/>
      <border diagonalUp="0" diagonalDown="0">
        <left/>
        <right/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167" formatCode="d\ hh:mm"/>
      <fill>
        <patternFill patternType="solid">
          <fgColor indexed="64"/>
          <bgColor theme="4" tint="0.79998168889431442"/>
        </patternFill>
      </fill>
      <alignment horizontal="center" vertical="center" textRotation="0" wrapText="0" indent="0" justifyLastLine="0" shrinkToFit="0" readingOrder="0"/>
      <border diagonalUp="0" diagonalDown="0">
        <left/>
        <right/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167" formatCode="d\ hh:mm"/>
      <fill>
        <patternFill patternType="solid">
          <fgColor indexed="64"/>
          <bgColor theme="4" tint="0.7999816888943144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35" formatCode="_-* #,##0.00\ _€_-;\-* #,##0.00\ _€_-;_-* &quot;-&quot;??\ _€_-;_-@_-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35" formatCode="_-* #,##0.00\ _€_-;\-* #,##0.00\ _€_-;_-* &quot;-&quot;??\ _€_-;_-@_-"/>
      <fill>
        <patternFill patternType="solid">
          <fgColor indexed="64"/>
          <bgColor theme="5" tint="0.7999816888943144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165" formatCode="h:mm;@"/>
      <fill>
        <patternFill patternType="solid">
          <fgColor indexed="64"/>
          <bgColor theme="0" tint="-4.9989318521683403E-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165" formatCode="h:mm;@"/>
      <fill>
        <patternFill patternType="solid">
          <fgColor indexed="64"/>
          <bgColor theme="0" tint="-4.9989318521683403E-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165" formatCode="h:mm;@"/>
      <fill>
        <patternFill patternType="solid">
          <fgColor indexed="64"/>
          <bgColor theme="0" tint="-4.9989318521683403E-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165" formatCode="h:mm;@"/>
      <fill>
        <patternFill patternType="solid">
          <fgColor indexed="64"/>
          <bgColor theme="0" tint="-4.9989318521683403E-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165" formatCode="h:mm;@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165" formatCode="h:mm;@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numFmt numFmtId="164" formatCode="[$-F800]dddd\,\ mmmm\ dd\,\ yyyy"/>
      <alignment horizontal="center" vertical="center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border outline="0">
        <top style="thin">
          <color rgb="FF000000"/>
        </top>
      </border>
    </dxf>
    <dxf>
      <border outline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Calibri"/>
        <scheme val="none"/>
      </font>
      <fill>
        <patternFill patternType="solid">
          <fgColor rgb="FF000000"/>
          <bgColor rgb="FFF2F2F2"/>
        </patternFill>
      </fill>
      <alignment horizontal="center" vertical="center" textRotation="0" wrapText="0" indent="0" justifyLastLine="0" shrinkToFit="0" readingOrder="0"/>
      <protection locked="1" hidden="0"/>
    </dxf>
    <dxf>
      <border outline="0">
        <bottom style="thin">
          <color rgb="FF000000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35" formatCode="_-* #,##0.00\ _€_-;\-* #,##0.00\ _€_-;_-* &quot;-&quot;??\ _€_-;_-@_-"/>
      <fill>
        <patternFill patternType="solid">
          <fgColor indexed="64"/>
          <bgColor theme="4" tint="0.79998168889431442"/>
        </patternFill>
      </fill>
      <alignment horizontal="center" vertical="center" textRotation="0" wrapText="0" indent="0" justifyLastLine="0" shrinkToFit="0" readingOrder="0"/>
      <border diagonalUp="0" diagonalDown="0">
        <left/>
        <right/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35" formatCode="_-* #,##0.00\ _€_-;\-* #,##0.00\ _€_-;_-* &quot;-&quot;??\ _€_-;_-@_-"/>
      <fill>
        <patternFill patternType="solid">
          <fgColor indexed="64"/>
          <bgColor theme="4" tint="0.79998168889431442"/>
        </patternFill>
      </fill>
      <alignment horizontal="center" vertical="center" textRotation="0" wrapText="0" indent="0" justifyLastLine="0" shrinkToFit="0" readingOrder="0"/>
      <border diagonalUp="0" diagonalDown="0">
        <left/>
        <right/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35" formatCode="_-* #,##0.00\ _€_-;\-* #,##0.00\ _€_-;_-* &quot;-&quot;??\ _€_-;_-@_-"/>
      <fill>
        <patternFill patternType="solid">
          <fgColor indexed="64"/>
          <bgColor theme="4" tint="0.79998168889431442"/>
        </patternFill>
      </fill>
      <alignment horizontal="center" vertical="center" textRotation="0" wrapText="0" indent="0" justifyLastLine="0" shrinkToFit="0" readingOrder="0"/>
      <border diagonalUp="0" diagonalDown="0">
        <left/>
        <right/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35" formatCode="_-* #,##0.00\ _€_-;\-* #,##0.00\ _€_-;_-* &quot;-&quot;??\ _€_-;_-@_-"/>
      <fill>
        <patternFill patternType="solid">
          <fgColor indexed="64"/>
          <bgColor theme="4" tint="0.79998168889431442"/>
        </patternFill>
      </fill>
      <alignment horizontal="center" vertical="center" textRotation="0" wrapText="0" indent="0" justifyLastLine="0" shrinkToFit="0" readingOrder="0"/>
      <border diagonalUp="0" diagonalDown="0">
        <left/>
        <right/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35" formatCode="_-* #,##0.00\ _€_-;\-* #,##0.00\ _€_-;_-* &quot;-&quot;??\ _€_-;_-@_-"/>
      <fill>
        <patternFill patternType="solid">
          <fgColor indexed="64"/>
          <bgColor theme="4" tint="0.79998168889431442"/>
        </patternFill>
      </fill>
      <alignment horizontal="center" vertical="center" textRotation="0" wrapText="0" indent="0" justifyLastLine="0" shrinkToFit="0" readingOrder="0"/>
      <border diagonalUp="0" diagonalDown="0">
        <left/>
        <right/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35" formatCode="_-* #,##0.00\ _€_-;\-* #,##0.00\ _€_-;_-* &quot;-&quot;??\ _€_-;_-@_-"/>
      <fill>
        <patternFill patternType="solid">
          <fgColor indexed="64"/>
          <bgColor theme="4" tint="0.7999816888943144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167" formatCode="d\ hh:mm"/>
      <fill>
        <patternFill patternType="solid">
          <fgColor indexed="64"/>
          <bgColor theme="4" tint="0.79998168889431442"/>
        </patternFill>
      </fill>
      <alignment horizontal="center" vertical="center" textRotation="0" wrapText="0" indent="0" justifyLastLine="0" shrinkToFit="0" readingOrder="0"/>
      <border diagonalUp="0" diagonalDown="0">
        <left/>
        <right/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167" formatCode="d\ hh:mm"/>
      <fill>
        <patternFill patternType="solid">
          <fgColor indexed="64"/>
          <bgColor theme="4" tint="0.79998168889431442"/>
        </patternFill>
      </fill>
      <alignment horizontal="center" vertical="center" textRotation="0" wrapText="0" indent="0" justifyLastLine="0" shrinkToFit="0" readingOrder="0"/>
      <border diagonalUp="0" diagonalDown="0">
        <left/>
        <right/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167" formatCode="d\ hh:mm"/>
      <fill>
        <patternFill patternType="solid">
          <fgColor indexed="64"/>
          <bgColor theme="4" tint="0.7999816888943144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35" formatCode="_-* #,##0.00\ _€_-;\-* #,##0.00\ _€_-;_-* &quot;-&quot;??\ _€_-;_-@_-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35" formatCode="_-* #,##0.00\ _€_-;\-* #,##0.00\ _€_-;_-* &quot;-&quot;??\ _€_-;_-@_-"/>
      <fill>
        <patternFill patternType="solid">
          <fgColor indexed="64"/>
          <bgColor theme="5" tint="0.7999816888943144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165" formatCode="h:mm;@"/>
      <fill>
        <patternFill patternType="solid">
          <fgColor indexed="64"/>
          <bgColor theme="0" tint="-4.9989318521683403E-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165" formatCode="h:mm;@"/>
      <fill>
        <patternFill patternType="solid">
          <fgColor indexed="64"/>
          <bgColor theme="0" tint="-4.9989318521683403E-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165" formatCode="h:mm;@"/>
      <fill>
        <patternFill patternType="solid">
          <fgColor indexed="64"/>
          <bgColor theme="0" tint="-4.9989318521683403E-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165" formatCode="h:mm;@"/>
      <fill>
        <patternFill patternType="solid">
          <fgColor indexed="64"/>
          <bgColor theme="0" tint="-4.9989318521683403E-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165" formatCode="h:mm;@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165" formatCode="h:mm;@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numFmt numFmtId="164" formatCode="[$-F800]dddd\,\ mmmm\ dd\,\ yyyy"/>
      <alignment horizontal="center" vertical="center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border outline="0">
        <top style="thin">
          <color rgb="FF000000"/>
        </top>
      </border>
    </dxf>
    <dxf>
      <border outline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Calibri"/>
        <scheme val="none"/>
      </font>
      <fill>
        <patternFill patternType="solid">
          <fgColor rgb="FF000000"/>
          <bgColor rgb="FFF2F2F2"/>
        </patternFill>
      </fill>
      <alignment horizontal="center" vertical="center" textRotation="0" wrapText="0" indent="0" justifyLastLine="0" shrinkToFit="0" readingOrder="0"/>
      <protection locked="1" hidden="0"/>
    </dxf>
    <dxf>
      <border outline="0">
        <bottom style="thin">
          <color rgb="FF000000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35" formatCode="_-* #,##0.00\ _€_-;\-* #,##0.00\ _€_-;_-* &quot;-&quot;??\ _€_-;_-@_-"/>
      <fill>
        <patternFill patternType="solid">
          <fgColor indexed="64"/>
          <bgColor theme="4" tint="0.79998168889431442"/>
        </patternFill>
      </fill>
      <alignment horizontal="center" vertical="center" textRotation="0" wrapText="0" indent="0" justifyLastLine="0" shrinkToFit="0" readingOrder="0"/>
      <border diagonalUp="0" diagonalDown="0">
        <left/>
        <right/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35" formatCode="_-* #,##0.00\ _€_-;\-* #,##0.00\ _€_-;_-* &quot;-&quot;??\ _€_-;_-@_-"/>
      <fill>
        <patternFill patternType="solid">
          <fgColor indexed="64"/>
          <bgColor theme="4" tint="0.79998168889431442"/>
        </patternFill>
      </fill>
      <alignment horizontal="center" vertical="center" textRotation="0" wrapText="0" indent="0" justifyLastLine="0" shrinkToFit="0" readingOrder="0"/>
      <border diagonalUp="0" diagonalDown="0">
        <left/>
        <right/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35" formatCode="_-* #,##0.00\ _€_-;\-* #,##0.00\ _€_-;_-* &quot;-&quot;??\ _€_-;_-@_-"/>
      <fill>
        <patternFill patternType="solid">
          <fgColor indexed="64"/>
          <bgColor theme="4" tint="0.79998168889431442"/>
        </patternFill>
      </fill>
      <alignment horizontal="center" vertical="center" textRotation="0" wrapText="0" indent="0" justifyLastLine="0" shrinkToFit="0" readingOrder="0"/>
      <border diagonalUp="0" diagonalDown="0">
        <left/>
        <right/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35" formatCode="_-* #,##0.00\ _€_-;\-* #,##0.00\ _€_-;_-* &quot;-&quot;??\ _€_-;_-@_-"/>
      <fill>
        <patternFill patternType="solid">
          <fgColor indexed="64"/>
          <bgColor theme="4" tint="0.79998168889431442"/>
        </patternFill>
      </fill>
      <alignment horizontal="center" vertical="center" textRotation="0" wrapText="0" indent="0" justifyLastLine="0" shrinkToFit="0" readingOrder="0"/>
      <border diagonalUp="0" diagonalDown="0">
        <left/>
        <right/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35" formatCode="_-* #,##0.00\ _€_-;\-* #,##0.00\ _€_-;_-* &quot;-&quot;??\ _€_-;_-@_-"/>
      <fill>
        <patternFill patternType="solid">
          <fgColor indexed="64"/>
          <bgColor theme="4" tint="0.79998168889431442"/>
        </patternFill>
      </fill>
      <alignment horizontal="center" vertical="center" textRotation="0" wrapText="0" indent="0" justifyLastLine="0" shrinkToFit="0" readingOrder="0"/>
      <border diagonalUp="0" diagonalDown="0">
        <left/>
        <right/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35" formatCode="_-* #,##0.00\ _€_-;\-* #,##0.00\ _€_-;_-* &quot;-&quot;??\ _€_-;_-@_-"/>
      <fill>
        <patternFill patternType="solid">
          <fgColor indexed="64"/>
          <bgColor theme="4" tint="0.7999816888943144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167" formatCode="d\ hh:mm"/>
      <fill>
        <patternFill patternType="solid">
          <fgColor indexed="64"/>
          <bgColor theme="4" tint="0.79998168889431442"/>
        </patternFill>
      </fill>
      <alignment horizontal="center" vertical="center" textRotation="0" wrapText="0" indent="0" justifyLastLine="0" shrinkToFit="0" readingOrder="0"/>
      <border diagonalUp="0" diagonalDown="0">
        <left/>
        <right/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167" formatCode="d\ hh:mm"/>
      <fill>
        <patternFill patternType="solid">
          <fgColor indexed="64"/>
          <bgColor theme="4" tint="0.79998168889431442"/>
        </patternFill>
      </fill>
      <alignment horizontal="center" vertical="center" textRotation="0" wrapText="0" indent="0" justifyLastLine="0" shrinkToFit="0" readingOrder="0"/>
      <border diagonalUp="0" diagonalDown="0">
        <left/>
        <right/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167" formatCode="d\ hh:mm"/>
      <fill>
        <patternFill patternType="solid">
          <fgColor indexed="64"/>
          <bgColor theme="4" tint="0.7999816888943144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35" formatCode="_-* #,##0.00\ _€_-;\-* #,##0.00\ _€_-;_-* &quot;-&quot;??\ _€_-;_-@_-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35" formatCode="_-* #,##0.00\ _€_-;\-* #,##0.00\ _€_-;_-* &quot;-&quot;??\ _€_-;_-@_-"/>
      <fill>
        <patternFill patternType="solid">
          <fgColor indexed="64"/>
          <bgColor theme="5" tint="0.7999816888943144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165" formatCode="h:mm;@"/>
      <fill>
        <patternFill patternType="solid">
          <fgColor indexed="64"/>
          <bgColor theme="0" tint="-4.9989318521683403E-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165" formatCode="h:mm;@"/>
      <fill>
        <patternFill patternType="solid">
          <fgColor indexed="64"/>
          <bgColor theme="0" tint="-4.9989318521683403E-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165" formatCode="h:mm;@"/>
      <fill>
        <patternFill patternType="solid">
          <fgColor indexed="64"/>
          <bgColor theme="0" tint="-4.9989318521683403E-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165" formatCode="h:mm;@"/>
      <fill>
        <patternFill patternType="solid">
          <fgColor indexed="64"/>
          <bgColor theme="0" tint="-4.9989318521683403E-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165" formatCode="h:mm;@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165" formatCode="h:mm;@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numFmt numFmtId="164" formatCode="[$-F800]dddd\,\ mmmm\ dd\,\ yyyy"/>
      <alignment horizontal="center" vertical="center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border outline="0">
        <top style="thin">
          <color rgb="FF000000"/>
        </top>
      </border>
    </dxf>
    <dxf>
      <border outline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Calibri"/>
        <scheme val="none"/>
      </font>
      <fill>
        <patternFill patternType="solid">
          <fgColor rgb="FF000000"/>
          <bgColor rgb="FFF2F2F2"/>
        </patternFill>
      </fill>
      <alignment horizontal="center" vertical="center" textRotation="0" wrapText="0" indent="0" justifyLastLine="0" shrinkToFit="0" readingOrder="0"/>
      <protection locked="1" hidden="0"/>
    </dxf>
    <dxf>
      <border outline="0">
        <bottom style="thin">
          <color rgb="FF000000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35" formatCode="_-* #,##0.00\ _€_-;\-* #,##0.00\ _€_-;_-* &quot;-&quot;??\ _€_-;_-@_-"/>
      <fill>
        <patternFill patternType="solid">
          <fgColor indexed="64"/>
          <bgColor theme="4" tint="0.79998168889431442"/>
        </patternFill>
      </fill>
      <alignment horizontal="center" vertical="center" textRotation="0" wrapText="0" indent="0" justifyLastLine="0" shrinkToFit="0" readingOrder="0"/>
      <border diagonalUp="0" diagonalDown="0">
        <left/>
        <right/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35" formatCode="_-* #,##0.00\ _€_-;\-* #,##0.00\ _€_-;_-* &quot;-&quot;??\ _€_-;_-@_-"/>
      <fill>
        <patternFill patternType="solid">
          <fgColor indexed="64"/>
          <bgColor theme="4" tint="0.79998168889431442"/>
        </patternFill>
      </fill>
      <alignment horizontal="center" vertical="center" textRotation="0" wrapText="0" indent="0" justifyLastLine="0" shrinkToFit="0" readingOrder="0"/>
      <border diagonalUp="0" diagonalDown="0">
        <left/>
        <right/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35" formatCode="_-* #,##0.00\ _€_-;\-* #,##0.00\ _€_-;_-* &quot;-&quot;??\ _€_-;_-@_-"/>
      <fill>
        <patternFill patternType="solid">
          <fgColor indexed="64"/>
          <bgColor theme="4" tint="0.79998168889431442"/>
        </patternFill>
      </fill>
      <alignment horizontal="center" vertical="center" textRotation="0" wrapText="0" indent="0" justifyLastLine="0" shrinkToFit="0" readingOrder="0"/>
      <border diagonalUp="0" diagonalDown="0">
        <left/>
        <right/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35" formatCode="_-* #,##0.00\ _€_-;\-* #,##0.00\ _€_-;_-* &quot;-&quot;??\ _€_-;_-@_-"/>
      <fill>
        <patternFill patternType="solid">
          <fgColor indexed="64"/>
          <bgColor theme="4" tint="0.79998168889431442"/>
        </patternFill>
      </fill>
      <alignment horizontal="center" vertical="center" textRotation="0" wrapText="0" indent="0" justifyLastLine="0" shrinkToFit="0" readingOrder="0"/>
      <border diagonalUp="0" diagonalDown="0">
        <left/>
        <right/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35" formatCode="_-* #,##0.00\ _€_-;\-* #,##0.00\ _€_-;_-* &quot;-&quot;??\ _€_-;_-@_-"/>
      <fill>
        <patternFill patternType="solid">
          <fgColor indexed="64"/>
          <bgColor theme="4" tint="0.79998168889431442"/>
        </patternFill>
      </fill>
      <alignment horizontal="center" vertical="center" textRotation="0" wrapText="0" indent="0" justifyLastLine="0" shrinkToFit="0" readingOrder="0"/>
      <border diagonalUp="0" diagonalDown="0">
        <left/>
        <right/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35" formatCode="_-* #,##0.00\ _€_-;\-* #,##0.00\ _€_-;_-* &quot;-&quot;??\ _€_-;_-@_-"/>
      <fill>
        <patternFill patternType="solid">
          <fgColor indexed="64"/>
          <bgColor theme="4" tint="0.7999816888943144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167" formatCode="d\ hh:mm"/>
      <fill>
        <patternFill patternType="solid">
          <fgColor indexed="64"/>
          <bgColor theme="4" tint="0.79998168889431442"/>
        </patternFill>
      </fill>
      <alignment horizontal="center" vertical="center" textRotation="0" wrapText="0" indent="0" justifyLastLine="0" shrinkToFit="0" readingOrder="0"/>
      <border diagonalUp="0" diagonalDown="0">
        <left/>
        <right/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167" formatCode="d\ hh:mm"/>
      <fill>
        <patternFill patternType="solid">
          <fgColor indexed="64"/>
          <bgColor theme="4" tint="0.79998168889431442"/>
        </patternFill>
      </fill>
      <alignment horizontal="center" vertical="center" textRotation="0" wrapText="0" indent="0" justifyLastLine="0" shrinkToFit="0" readingOrder="0"/>
      <border diagonalUp="0" diagonalDown="0">
        <left/>
        <right/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167" formatCode="d\ hh:mm"/>
      <fill>
        <patternFill patternType="solid">
          <fgColor indexed="64"/>
          <bgColor theme="4" tint="0.7999816888943144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35" formatCode="_-* #,##0.00\ _€_-;\-* #,##0.00\ _€_-;_-* &quot;-&quot;??\ _€_-;_-@_-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35" formatCode="_-* #,##0.00\ _€_-;\-* #,##0.00\ _€_-;_-* &quot;-&quot;??\ _€_-;_-@_-"/>
      <fill>
        <patternFill patternType="solid">
          <fgColor indexed="64"/>
          <bgColor theme="5" tint="0.7999816888943144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165" formatCode="h:mm;@"/>
      <fill>
        <patternFill patternType="solid">
          <fgColor indexed="64"/>
          <bgColor theme="0" tint="-4.9989318521683403E-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165" formatCode="h:mm;@"/>
      <fill>
        <patternFill patternType="solid">
          <fgColor indexed="64"/>
          <bgColor theme="0" tint="-4.9989318521683403E-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165" formatCode="h:mm;@"/>
      <fill>
        <patternFill patternType="solid">
          <fgColor indexed="64"/>
          <bgColor theme="0" tint="-4.9989318521683403E-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165" formatCode="h:mm;@"/>
      <fill>
        <patternFill patternType="solid">
          <fgColor indexed="64"/>
          <bgColor theme="0" tint="-4.9989318521683403E-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165" formatCode="h:mm;@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165" formatCode="h:mm;@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numFmt numFmtId="164" formatCode="[$-F800]dddd\,\ mmmm\ dd\,\ yyyy"/>
      <alignment horizontal="center" vertical="center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border outline="0">
        <top style="thin">
          <color rgb="FF000000"/>
        </top>
      </border>
    </dxf>
    <dxf>
      <border outline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Calibri"/>
        <scheme val="none"/>
      </font>
      <fill>
        <patternFill patternType="solid">
          <fgColor rgb="FF000000"/>
          <bgColor rgb="FFF2F2F2"/>
        </patternFill>
      </fill>
      <alignment horizontal="center" vertical="center" textRotation="0" wrapText="0" indent="0" justifyLastLine="0" shrinkToFit="0" readingOrder="0"/>
      <protection locked="1" hidden="0"/>
    </dxf>
    <dxf>
      <border outline="0">
        <bottom style="thin">
          <color rgb="FF000000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35" formatCode="_-* #,##0.00\ _€_-;\-* #,##0.00\ _€_-;_-* &quot;-&quot;??\ _€_-;_-@_-"/>
      <fill>
        <patternFill patternType="solid">
          <fgColor indexed="64"/>
          <bgColor theme="4" tint="0.79998168889431442"/>
        </patternFill>
      </fill>
      <alignment horizontal="center" vertical="center" textRotation="0" wrapText="0" indent="0" justifyLastLine="0" shrinkToFit="0" readingOrder="0"/>
      <border diagonalUp="0" diagonalDown="0">
        <left/>
        <right/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35" formatCode="_-* #,##0.00\ _€_-;\-* #,##0.00\ _€_-;_-* &quot;-&quot;??\ _€_-;_-@_-"/>
      <fill>
        <patternFill patternType="solid">
          <fgColor indexed="64"/>
          <bgColor theme="4" tint="0.79998168889431442"/>
        </patternFill>
      </fill>
      <alignment horizontal="center" vertical="center" textRotation="0" wrapText="0" indent="0" justifyLastLine="0" shrinkToFit="0" readingOrder="0"/>
      <border diagonalUp="0" diagonalDown="0">
        <left/>
        <right/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35" formatCode="_-* #,##0.00\ _€_-;\-* #,##0.00\ _€_-;_-* &quot;-&quot;??\ _€_-;_-@_-"/>
      <fill>
        <patternFill patternType="solid">
          <fgColor indexed="64"/>
          <bgColor theme="4" tint="0.79998168889431442"/>
        </patternFill>
      </fill>
      <alignment horizontal="center" vertical="center" textRotation="0" wrapText="0" indent="0" justifyLastLine="0" shrinkToFit="0" readingOrder="0"/>
      <border diagonalUp="0" diagonalDown="0">
        <left/>
        <right/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35" formatCode="_-* #,##0.00\ _€_-;\-* #,##0.00\ _€_-;_-* &quot;-&quot;??\ _€_-;_-@_-"/>
      <fill>
        <patternFill patternType="solid">
          <fgColor indexed="64"/>
          <bgColor theme="4" tint="0.79998168889431442"/>
        </patternFill>
      </fill>
      <alignment horizontal="center" vertical="center" textRotation="0" wrapText="0" indent="0" justifyLastLine="0" shrinkToFit="0" readingOrder="0"/>
      <border diagonalUp="0" diagonalDown="0">
        <left/>
        <right/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35" formatCode="_-* #,##0.00\ _€_-;\-* #,##0.00\ _€_-;_-* &quot;-&quot;??\ _€_-;_-@_-"/>
      <fill>
        <patternFill patternType="solid">
          <fgColor indexed="64"/>
          <bgColor theme="4" tint="0.79998168889431442"/>
        </patternFill>
      </fill>
      <alignment horizontal="center" vertical="center" textRotation="0" wrapText="0" indent="0" justifyLastLine="0" shrinkToFit="0" readingOrder="0"/>
      <border diagonalUp="0" diagonalDown="0">
        <left/>
        <right/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35" formatCode="_-* #,##0.00\ _€_-;\-* #,##0.00\ _€_-;_-* &quot;-&quot;??\ _€_-;_-@_-"/>
      <fill>
        <patternFill patternType="solid">
          <fgColor indexed="64"/>
          <bgColor theme="4" tint="0.7999816888943144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167" formatCode="d\ hh:mm"/>
      <fill>
        <patternFill patternType="solid">
          <fgColor indexed="64"/>
          <bgColor theme="4" tint="0.79998168889431442"/>
        </patternFill>
      </fill>
      <alignment horizontal="center" vertical="center" textRotation="0" wrapText="0" indent="0" justifyLastLine="0" shrinkToFit="0" readingOrder="0"/>
      <border diagonalUp="0" diagonalDown="0">
        <left/>
        <right/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167" formatCode="d\ hh:mm"/>
      <fill>
        <patternFill patternType="solid">
          <fgColor indexed="64"/>
          <bgColor theme="4" tint="0.79998168889431442"/>
        </patternFill>
      </fill>
      <alignment horizontal="center" vertical="center" textRotation="0" wrapText="0" indent="0" justifyLastLine="0" shrinkToFit="0" readingOrder="0"/>
      <border diagonalUp="0" diagonalDown="0">
        <left/>
        <right/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167" formatCode="d\ hh:mm"/>
      <fill>
        <patternFill patternType="solid">
          <fgColor indexed="64"/>
          <bgColor theme="4" tint="0.7999816888943144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35" formatCode="_-* #,##0.00\ _€_-;\-* #,##0.00\ _€_-;_-* &quot;-&quot;??\ _€_-;_-@_-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35" formatCode="_-* #,##0.00\ _€_-;\-* #,##0.00\ _€_-;_-* &quot;-&quot;??\ _€_-;_-@_-"/>
      <fill>
        <patternFill patternType="solid">
          <fgColor indexed="64"/>
          <bgColor theme="5" tint="0.7999816888943144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165" formatCode="h:mm;@"/>
      <fill>
        <patternFill patternType="solid">
          <fgColor indexed="64"/>
          <bgColor theme="0" tint="-4.9989318521683403E-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165" formatCode="h:mm;@"/>
      <fill>
        <patternFill patternType="solid">
          <fgColor indexed="64"/>
          <bgColor theme="0" tint="-4.9989318521683403E-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165" formatCode="h:mm;@"/>
      <fill>
        <patternFill patternType="solid">
          <fgColor indexed="64"/>
          <bgColor theme="0" tint="-4.9989318521683403E-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165" formatCode="h:mm;@"/>
      <fill>
        <patternFill patternType="solid">
          <fgColor indexed="64"/>
          <bgColor theme="0" tint="-4.9989318521683403E-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165" formatCode="h:mm;@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165" formatCode="h:mm;@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numFmt numFmtId="164" formatCode="[$-F800]dddd\,\ mmmm\ dd\,\ yyyy"/>
      <alignment horizontal="center" vertical="center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border outline="0">
        <top style="thin">
          <color rgb="FF000000"/>
        </top>
      </border>
    </dxf>
    <dxf>
      <border outline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Calibri"/>
        <scheme val="none"/>
      </font>
      <fill>
        <patternFill patternType="solid">
          <fgColor rgb="FF000000"/>
          <bgColor rgb="FFF2F2F2"/>
        </patternFill>
      </fill>
      <alignment horizontal="center" vertical="center" textRotation="0" wrapText="0" indent="0" justifyLastLine="0" shrinkToFit="0" readingOrder="0"/>
      <protection locked="1" hidden="0"/>
    </dxf>
    <dxf>
      <border outline="0">
        <bottom style="thin">
          <color rgb="FF000000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35" formatCode="_-* #,##0.00\ _€_-;\-* #,##0.00\ _€_-;_-* &quot;-&quot;??\ _€_-;_-@_-"/>
      <fill>
        <patternFill patternType="solid">
          <fgColor indexed="64"/>
          <bgColor theme="4" tint="0.79998168889431442"/>
        </patternFill>
      </fill>
      <alignment horizontal="center" vertical="center" textRotation="0" wrapText="0" indent="0" justifyLastLine="0" shrinkToFit="0" readingOrder="0"/>
      <border diagonalUp="0" diagonalDown="0">
        <left/>
        <right/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35" formatCode="_-* #,##0.00\ _€_-;\-* #,##0.00\ _€_-;_-* &quot;-&quot;??\ _€_-;_-@_-"/>
      <fill>
        <patternFill patternType="solid">
          <fgColor indexed="64"/>
          <bgColor theme="4" tint="0.79998168889431442"/>
        </patternFill>
      </fill>
      <alignment horizontal="center" vertical="center" textRotation="0" wrapText="0" indent="0" justifyLastLine="0" shrinkToFit="0" readingOrder="0"/>
      <border diagonalUp="0" diagonalDown="0">
        <left/>
        <right/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35" formatCode="_-* #,##0.00\ _€_-;\-* #,##0.00\ _€_-;_-* &quot;-&quot;??\ _€_-;_-@_-"/>
      <fill>
        <patternFill patternType="solid">
          <fgColor indexed="64"/>
          <bgColor theme="4" tint="0.79998168889431442"/>
        </patternFill>
      </fill>
      <alignment horizontal="center" vertical="center" textRotation="0" wrapText="0" indent="0" justifyLastLine="0" shrinkToFit="0" readingOrder="0"/>
      <border diagonalUp="0" diagonalDown="0">
        <left/>
        <right/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35" formatCode="_-* #,##0.00\ _€_-;\-* #,##0.00\ _€_-;_-* &quot;-&quot;??\ _€_-;_-@_-"/>
      <fill>
        <patternFill patternType="solid">
          <fgColor indexed="64"/>
          <bgColor theme="4" tint="0.79998168889431442"/>
        </patternFill>
      </fill>
      <alignment horizontal="center" vertical="center" textRotation="0" wrapText="0" indent="0" justifyLastLine="0" shrinkToFit="0" readingOrder="0"/>
      <border diagonalUp="0" diagonalDown="0">
        <left/>
        <right/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35" formatCode="_-* #,##0.00\ _€_-;\-* #,##0.00\ _€_-;_-* &quot;-&quot;??\ _€_-;_-@_-"/>
      <fill>
        <patternFill patternType="solid">
          <fgColor indexed="64"/>
          <bgColor theme="4" tint="0.79998168889431442"/>
        </patternFill>
      </fill>
      <alignment horizontal="center" vertical="center" textRotation="0" wrapText="0" indent="0" justifyLastLine="0" shrinkToFit="0" readingOrder="0"/>
      <border diagonalUp="0" diagonalDown="0">
        <left/>
        <right/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35" formatCode="_-* #,##0.00\ _€_-;\-* #,##0.00\ _€_-;_-* &quot;-&quot;??\ _€_-;_-@_-"/>
      <fill>
        <patternFill patternType="solid">
          <fgColor indexed="64"/>
          <bgColor theme="4" tint="0.7999816888943144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167" formatCode="d\ hh:mm"/>
      <fill>
        <patternFill patternType="solid">
          <fgColor indexed="64"/>
          <bgColor theme="4" tint="0.79998168889431442"/>
        </patternFill>
      </fill>
      <alignment horizontal="center" vertical="center" textRotation="0" wrapText="0" indent="0" justifyLastLine="0" shrinkToFit="0" readingOrder="0"/>
      <border diagonalUp="0" diagonalDown="0">
        <left/>
        <right/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167" formatCode="d\ hh:mm"/>
      <fill>
        <patternFill patternType="solid">
          <fgColor indexed="64"/>
          <bgColor theme="4" tint="0.79998168889431442"/>
        </patternFill>
      </fill>
      <alignment horizontal="center" vertical="center" textRotation="0" wrapText="0" indent="0" justifyLastLine="0" shrinkToFit="0" readingOrder="0"/>
      <border diagonalUp="0" diagonalDown="0">
        <left/>
        <right/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167" formatCode="d\ hh:mm"/>
      <fill>
        <patternFill patternType="solid">
          <fgColor indexed="64"/>
          <bgColor theme="4" tint="0.7999816888943144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35" formatCode="_-* #,##0.00\ _€_-;\-* #,##0.00\ _€_-;_-* &quot;-&quot;??\ _€_-;_-@_-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35" formatCode="_-* #,##0.00\ _€_-;\-* #,##0.00\ _€_-;_-* &quot;-&quot;??\ _€_-;_-@_-"/>
      <fill>
        <patternFill patternType="solid">
          <fgColor indexed="64"/>
          <bgColor theme="5" tint="0.7999816888943144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165" formatCode="h:mm;@"/>
      <fill>
        <patternFill patternType="solid">
          <fgColor indexed="64"/>
          <bgColor theme="0" tint="-4.9989318521683403E-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165" formatCode="h:mm;@"/>
      <fill>
        <patternFill patternType="solid">
          <fgColor indexed="64"/>
          <bgColor theme="0" tint="-4.9989318521683403E-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165" formatCode="h:mm;@"/>
      <fill>
        <patternFill patternType="solid">
          <fgColor indexed="64"/>
          <bgColor theme="0" tint="-4.9989318521683403E-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165" formatCode="h:mm;@"/>
      <fill>
        <patternFill patternType="solid">
          <fgColor indexed="64"/>
          <bgColor theme="0" tint="-4.9989318521683403E-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165" formatCode="h:mm;@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165" formatCode="h:mm;@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numFmt numFmtId="164" formatCode="[$-F800]dddd\,\ mmmm\ dd\,\ yyyy"/>
      <alignment horizontal="center" vertical="center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border outline="0">
        <top style="thin">
          <color rgb="FF000000"/>
        </top>
      </border>
    </dxf>
    <dxf>
      <border outline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Calibri"/>
        <scheme val="none"/>
      </font>
      <fill>
        <patternFill patternType="solid">
          <fgColor rgb="FF000000"/>
          <bgColor rgb="FFF2F2F2"/>
        </patternFill>
      </fill>
      <alignment horizontal="center" vertical="center" textRotation="0" wrapText="0" indent="0" justifyLastLine="0" shrinkToFit="0" readingOrder="0"/>
      <protection locked="1" hidden="0"/>
    </dxf>
    <dxf>
      <border outline="0">
        <bottom style="thin">
          <color rgb="FF000000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35" formatCode="_-* #,##0.00\ _€_-;\-* #,##0.00\ _€_-;_-* &quot;-&quot;??\ _€_-;_-@_-"/>
      <fill>
        <patternFill patternType="solid">
          <fgColor indexed="64"/>
          <bgColor theme="4" tint="0.79998168889431442"/>
        </patternFill>
      </fill>
      <alignment horizontal="center" vertical="center" textRotation="0" wrapText="0" indent="0" justifyLastLine="0" shrinkToFit="0" readingOrder="0"/>
      <border diagonalUp="0" diagonalDown="0">
        <left/>
        <right/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35" formatCode="_-* #,##0.00\ _€_-;\-* #,##0.00\ _€_-;_-* &quot;-&quot;??\ _€_-;_-@_-"/>
      <fill>
        <patternFill patternType="solid">
          <fgColor indexed="64"/>
          <bgColor theme="4" tint="0.79998168889431442"/>
        </patternFill>
      </fill>
      <alignment horizontal="center" vertical="center" textRotation="0" wrapText="0" indent="0" justifyLastLine="0" shrinkToFit="0" readingOrder="0"/>
      <border diagonalUp="0" diagonalDown="0">
        <left/>
        <right/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35" formatCode="_-* #,##0.00\ _€_-;\-* #,##0.00\ _€_-;_-* &quot;-&quot;??\ _€_-;_-@_-"/>
      <fill>
        <patternFill patternType="solid">
          <fgColor indexed="64"/>
          <bgColor theme="4" tint="0.79998168889431442"/>
        </patternFill>
      </fill>
      <alignment horizontal="center" vertical="center" textRotation="0" wrapText="0" indent="0" justifyLastLine="0" shrinkToFit="0" readingOrder="0"/>
      <border diagonalUp="0" diagonalDown="0">
        <left/>
        <right/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35" formatCode="_-* #,##0.00\ _€_-;\-* #,##0.00\ _€_-;_-* &quot;-&quot;??\ _€_-;_-@_-"/>
      <fill>
        <patternFill patternType="solid">
          <fgColor indexed="64"/>
          <bgColor theme="4" tint="0.79998168889431442"/>
        </patternFill>
      </fill>
      <alignment horizontal="center" vertical="center" textRotation="0" wrapText="0" indent="0" justifyLastLine="0" shrinkToFit="0" readingOrder="0"/>
      <border diagonalUp="0" diagonalDown="0">
        <left/>
        <right/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35" formatCode="_-* #,##0.00\ _€_-;\-* #,##0.00\ _€_-;_-* &quot;-&quot;??\ _€_-;_-@_-"/>
      <fill>
        <patternFill patternType="solid">
          <fgColor indexed="64"/>
          <bgColor theme="4" tint="0.79998168889431442"/>
        </patternFill>
      </fill>
      <alignment horizontal="center" vertical="center" textRotation="0" wrapText="0" indent="0" justifyLastLine="0" shrinkToFit="0" readingOrder="0"/>
      <border diagonalUp="0" diagonalDown="0">
        <left/>
        <right/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35" formatCode="_-* #,##0.00\ _€_-;\-* #,##0.00\ _€_-;_-* &quot;-&quot;??\ _€_-;_-@_-"/>
      <fill>
        <patternFill patternType="solid">
          <fgColor indexed="64"/>
          <bgColor theme="4" tint="0.7999816888943144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167" formatCode="d\ hh:mm"/>
      <fill>
        <patternFill patternType="solid">
          <fgColor indexed="64"/>
          <bgColor theme="4" tint="0.79998168889431442"/>
        </patternFill>
      </fill>
      <alignment horizontal="center" vertical="center" textRotation="0" wrapText="0" indent="0" justifyLastLine="0" shrinkToFit="0" readingOrder="0"/>
      <border diagonalUp="0" diagonalDown="0">
        <left/>
        <right/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167" formatCode="d\ hh:mm"/>
      <fill>
        <patternFill patternType="solid">
          <fgColor indexed="64"/>
          <bgColor theme="4" tint="0.79998168889431442"/>
        </patternFill>
      </fill>
      <alignment horizontal="center" vertical="center" textRotation="0" wrapText="0" indent="0" justifyLastLine="0" shrinkToFit="0" readingOrder="0"/>
      <border diagonalUp="0" diagonalDown="0">
        <left/>
        <right/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167" formatCode="d\ hh:mm"/>
      <fill>
        <patternFill patternType="solid">
          <fgColor indexed="64"/>
          <bgColor theme="4" tint="0.7999816888943144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35" formatCode="_-* #,##0.00\ _€_-;\-* #,##0.00\ _€_-;_-* &quot;-&quot;??\ _€_-;_-@_-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35" formatCode="_-* #,##0.00\ _€_-;\-* #,##0.00\ _€_-;_-* &quot;-&quot;??\ _€_-;_-@_-"/>
      <fill>
        <patternFill patternType="solid">
          <fgColor indexed="64"/>
          <bgColor theme="5" tint="0.7999816888943144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165" formatCode="h:mm;@"/>
      <fill>
        <patternFill patternType="solid">
          <fgColor indexed="64"/>
          <bgColor theme="0" tint="-4.9989318521683403E-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165" formatCode="h:mm;@"/>
      <fill>
        <patternFill patternType="solid">
          <fgColor indexed="64"/>
          <bgColor theme="0" tint="-4.9989318521683403E-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165" formatCode="h:mm;@"/>
      <fill>
        <patternFill patternType="solid">
          <fgColor indexed="64"/>
          <bgColor theme="0" tint="-4.9989318521683403E-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165" formatCode="h:mm;@"/>
      <fill>
        <patternFill patternType="solid">
          <fgColor indexed="64"/>
          <bgColor theme="0" tint="-4.9989318521683403E-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165" formatCode="h:mm;@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165" formatCode="h:mm;@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numFmt numFmtId="164" formatCode="[$-F800]dddd\,\ mmmm\ dd\,\ yyyy"/>
      <alignment horizontal="center" vertical="center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border outline="0">
        <top style="thin">
          <color rgb="FF000000"/>
        </top>
      </border>
    </dxf>
    <dxf>
      <border outline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Calibri"/>
        <scheme val="none"/>
      </font>
      <fill>
        <patternFill patternType="solid">
          <fgColor rgb="FF000000"/>
          <bgColor rgb="FFF2F2F2"/>
        </patternFill>
      </fill>
      <alignment horizontal="center" vertical="center" textRotation="0" wrapText="0" indent="0" justifyLastLine="0" shrinkToFit="0" readingOrder="0"/>
      <protection locked="1" hidden="0"/>
    </dxf>
    <dxf>
      <border outline="0">
        <bottom style="thin">
          <color rgb="FF000000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35" formatCode="_-* #,##0.00\ _€_-;\-* #,##0.00\ _€_-;_-* &quot;-&quot;??\ _€_-;_-@_-"/>
      <fill>
        <patternFill patternType="solid">
          <fgColor indexed="64"/>
          <bgColor theme="4" tint="0.79998168889431442"/>
        </patternFill>
      </fill>
      <alignment horizontal="center" vertical="center" textRotation="0" wrapText="0" indent="0" justifyLastLine="0" shrinkToFit="0" readingOrder="0"/>
      <border diagonalUp="0" diagonalDown="0">
        <left/>
        <right/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35" formatCode="_-* #,##0.00\ _€_-;\-* #,##0.00\ _€_-;_-* &quot;-&quot;??\ _€_-;_-@_-"/>
      <fill>
        <patternFill patternType="solid">
          <fgColor indexed="64"/>
          <bgColor theme="4" tint="0.79998168889431442"/>
        </patternFill>
      </fill>
      <alignment horizontal="center" vertical="center" textRotation="0" wrapText="0" indent="0" justifyLastLine="0" shrinkToFit="0" readingOrder="0"/>
      <border diagonalUp="0" diagonalDown="0">
        <left/>
        <right/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35" formatCode="_-* #,##0.00\ _€_-;\-* #,##0.00\ _€_-;_-* &quot;-&quot;??\ _€_-;_-@_-"/>
      <fill>
        <patternFill patternType="solid">
          <fgColor indexed="64"/>
          <bgColor theme="4" tint="0.79998168889431442"/>
        </patternFill>
      </fill>
      <alignment horizontal="center" vertical="center" textRotation="0" wrapText="0" indent="0" justifyLastLine="0" shrinkToFit="0" readingOrder="0"/>
      <border diagonalUp="0" diagonalDown="0">
        <left/>
        <right/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35" formatCode="_-* #,##0.00\ _€_-;\-* #,##0.00\ _€_-;_-* &quot;-&quot;??\ _€_-;_-@_-"/>
      <fill>
        <patternFill patternType="solid">
          <fgColor indexed="64"/>
          <bgColor theme="4" tint="0.79998168889431442"/>
        </patternFill>
      </fill>
      <alignment horizontal="center" vertical="center" textRotation="0" wrapText="0" indent="0" justifyLastLine="0" shrinkToFit="0" readingOrder="0"/>
      <border diagonalUp="0" diagonalDown="0">
        <left/>
        <right/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35" formatCode="_-* #,##0.00\ _€_-;\-* #,##0.00\ _€_-;_-* &quot;-&quot;??\ _€_-;_-@_-"/>
      <fill>
        <patternFill patternType="solid">
          <fgColor indexed="64"/>
          <bgColor theme="4" tint="0.79998168889431442"/>
        </patternFill>
      </fill>
      <alignment horizontal="center" vertical="center" textRotation="0" wrapText="0" indent="0" justifyLastLine="0" shrinkToFit="0" readingOrder="0"/>
      <border diagonalUp="0" diagonalDown="0">
        <left/>
        <right/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35" formatCode="_-* #,##0.00\ _€_-;\-* #,##0.00\ _€_-;_-* &quot;-&quot;??\ _€_-;_-@_-"/>
      <fill>
        <patternFill patternType="solid">
          <fgColor indexed="64"/>
          <bgColor theme="4" tint="0.7999816888943144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167" formatCode="d\ hh:mm"/>
      <fill>
        <patternFill patternType="solid">
          <fgColor indexed="64"/>
          <bgColor theme="4" tint="0.79998168889431442"/>
        </patternFill>
      </fill>
      <alignment horizontal="center" vertical="center" textRotation="0" wrapText="0" indent="0" justifyLastLine="0" shrinkToFit="0" readingOrder="0"/>
      <border diagonalUp="0" diagonalDown="0">
        <left/>
        <right/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167" formatCode="d\ hh:mm"/>
      <fill>
        <patternFill patternType="solid">
          <fgColor indexed="64"/>
          <bgColor theme="4" tint="0.79998168889431442"/>
        </patternFill>
      </fill>
      <alignment horizontal="center" vertical="center" textRotation="0" wrapText="0" indent="0" justifyLastLine="0" shrinkToFit="0" readingOrder="0"/>
      <border diagonalUp="0" diagonalDown="0">
        <left/>
        <right/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167" formatCode="d\ hh:mm"/>
      <fill>
        <patternFill patternType="solid">
          <fgColor indexed="64"/>
          <bgColor theme="4" tint="0.7999816888943144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35" formatCode="_-* #,##0.00\ _€_-;\-* #,##0.00\ _€_-;_-* &quot;-&quot;??\ _€_-;_-@_-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35" formatCode="_-* #,##0.00\ _€_-;\-* #,##0.00\ _€_-;_-* &quot;-&quot;??\ _€_-;_-@_-"/>
      <fill>
        <patternFill patternType="solid">
          <fgColor indexed="64"/>
          <bgColor theme="5" tint="0.7999816888943144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165" formatCode="h:mm;@"/>
      <fill>
        <patternFill patternType="solid">
          <fgColor indexed="64"/>
          <bgColor theme="0" tint="-4.9989318521683403E-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165" formatCode="h:mm;@"/>
      <fill>
        <patternFill patternType="solid">
          <fgColor indexed="64"/>
          <bgColor theme="0" tint="-4.9989318521683403E-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165" formatCode="h:mm;@"/>
      <fill>
        <patternFill patternType="solid">
          <fgColor indexed="64"/>
          <bgColor theme="0" tint="-4.9989318521683403E-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165" formatCode="h:mm;@"/>
      <fill>
        <patternFill patternType="solid">
          <fgColor indexed="64"/>
          <bgColor theme="0" tint="-4.9989318521683403E-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165" formatCode="h:mm;@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165" formatCode="h:mm;@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numFmt numFmtId="164" formatCode="[$-F800]dddd\,\ mmmm\ dd\,\ yyyy"/>
      <alignment horizontal="center" vertical="center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border outline="0">
        <top style="thin">
          <color rgb="FF000000"/>
        </top>
      </border>
    </dxf>
    <dxf>
      <border outline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Calibri"/>
        <scheme val="none"/>
      </font>
      <fill>
        <patternFill patternType="solid">
          <fgColor rgb="FF000000"/>
          <bgColor rgb="FFF2F2F2"/>
        </patternFill>
      </fill>
      <alignment horizontal="center" vertical="center" textRotation="0" wrapText="0" indent="0" justifyLastLine="0" shrinkToFit="0" readingOrder="0"/>
      <protection locked="1" hidden="0"/>
    </dxf>
    <dxf>
      <border outline="0">
        <bottom style="thin">
          <color rgb="FF000000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35" formatCode="_-* #,##0.00\ _€_-;\-* #,##0.00\ _€_-;_-* &quot;-&quot;??\ _€_-;_-@_-"/>
      <fill>
        <patternFill patternType="solid">
          <fgColor indexed="64"/>
          <bgColor theme="4" tint="0.79998168889431442"/>
        </patternFill>
      </fill>
      <alignment horizontal="center" vertical="center" textRotation="0" wrapText="0" indent="0" justifyLastLine="0" shrinkToFit="0" readingOrder="0"/>
      <border diagonalUp="0" diagonalDown="0">
        <left/>
        <right/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35" formatCode="_-* #,##0.00\ _€_-;\-* #,##0.00\ _€_-;_-* &quot;-&quot;??\ _€_-;_-@_-"/>
      <fill>
        <patternFill patternType="solid">
          <fgColor indexed="64"/>
          <bgColor theme="4" tint="0.79998168889431442"/>
        </patternFill>
      </fill>
      <alignment horizontal="center" vertical="center" textRotation="0" wrapText="0" indent="0" justifyLastLine="0" shrinkToFit="0" readingOrder="0"/>
      <border diagonalUp="0" diagonalDown="0">
        <left/>
        <right/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35" formatCode="_-* #,##0.00\ _€_-;\-* #,##0.00\ _€_-;_-* &quot;-&quot;??\ _€_-;_-@_-"/>
      <fill>
        <patternFill patternType="solid">
          <fgColor indexed="64"/>
          <bgColor theme="4" tint="0.79998168889431442"/>
        </patternFill>
      </fill>
      <alignment horizontal="center" vertical="center" textRotation="0" wrapText="0" indent="0" justifyLastLine="0" shrinkToFit="0" readingOrder="0"/>
      <border diagonalUp="0" diagonalDown="0">
        <left/>
        <right/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35" formatCode="_-* #,##0.00\ _€_-;\-* #,##0.00\ _€_-;_-* &quot;-&quot;??\ _€_-;_-@_-"/>
      <fill>
        <patternFill patternType="solid">
          <fgColor indexed="64"/>
          <bgColor theme="4" tint="0.79998168889431442"/>
        </patternFill>
      </fill>
      <alignment horizontal="center" vertical="center" textRotation="0" wrapText="0" indent="0" justifyLastLine="0" shrinkToFit="0" readingOrder="0"/>
      <border diagonalUp="0" diagonalDown="0">
        <left/>
        <right/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35" formatCode="_-* #,##0.00\ _€_-;\-* #,##0.00\ _€_-;_-* &quot;-&quot;??\ _€_-;_-@_-"/>
      <fill>
        <patternFill patternType="solid">
          <fgColor indexed="64"/>
          <bgColor theme="4" tint="0.79998168889431442"/>
        </patternFill>
      </fill>
      <alignment horizontal="center" vertical="center" textRotation="0" wrapText="0" indent="0" justifyLastLine="0" shrinkToFit="0" readingOrder="0"/>
      <border diagonalUp="0" diagonalDown="0">
        <left/>
        <right/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35" formatCode="_-* #,##0.00\ _€_-;\-* #,##0.00\ _€_-;_-* &quot;-&quot;??\ _€_-;_-@_-"/>
      <fill>
        <patternFill patternType="solid">
          <fgColor indexed="64"/>
          <bgColor theme="4" tint="0.7999816888943144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167" formatCode="d\ hh:mm"/>
      <fill>
        <patternFill patternType="solid">
          <fgColor indexed="64"/>
          <bgColor theme="4" tint="0.79998168889431442"/>
        </patternFill>
      </fill>
      <alignment horizontal="center" vertical="center" textRotation="0" wrapText="0" indent="0" justifyLastLine="0" shrinkToFit="0" readingOrder="0"/>
      <border diagonalUp="0" diagonalDown="0">
        <left/>
        <right/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167" formatCode="d\ hh:mm"/>
      <fill>
        <patternFill patternType="solid">
          <fgColor indexed="64"/>
          <bgColor theme="4" tint="0.79998168889431442"/>
        </patternFill>
      </fill>
      <alignment horizontal="center" vertical="center" textRotation="0" wrapText="0" indent="0" justifyLastLine="0" shrinkToFit="0" readingOrder="0"/>
      <border diagonalUp="0" diagonalDown="0">
        <left/>
        <right/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167" formatCode="d\ hh:mm"/>
      <fill>
        <patternFill patternType="solid">
          <fgColor indexed="64"/>
          <bgColor theme="4" tint="0.7999816888943144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35" formatCode="_-* #,##0.00\ _€_-;\-* #,##0.00\ _€_-;_-* &quot;-&quot;??\ _€_-;_-@_-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35" formatCode="_-* #,##0.00\ _€_-;\-* #,##0.00\ _€_-;_-* &quot;-&quot;??\ _€_-;_-@_-"/>
      <fill>
        <patternFill patternType="solid">
          <fgColor indexed="64"/>
          <bgColor theme="5" tint="0.7999816888943144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165" formatCode="h:mm;@"/>
      <fill>
        <patternFill patternType="solid">
          <fgColor indexed="64"/>
          <bgColor theme="0" tint="-4.9989318521683403E-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165" formatCode="h:mm;@"/>
      <fill>
        <patternFill patternType="solid">
          <fgColor indexed="64"/>
          <bgColor theme="0" tint="-4.9989318521683403E-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165" formatCode="h:mm;@"/>
      <fill>
        <patternFill patternType="solid">
          <fgColor indexed="64"/>
          <bgColor theme="0" tint="-4.9989318521683403E-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165" formatCode="h:mm;@"/>
      <fill>
        <patternFill patternType="solid">
          <fgColor indexed="64"/>
          <bgColor theme="0" tint="-4.9989318521683403E-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165" formatCode="h:mm;@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165" formatCode="h:mm;@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numFmt numFmtId="164" formatCode="[$-F800]dddd\,\ mmmm\ dd\,\ yyyy"/>
      <alignment horizontal="center" vertical="center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border outline="0">
        <top style="thin">
          <color rgb="FF000000"/>
        </top>
      </border>
    </dxf>
    <dxf>
      <border outline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Calibri"/>
        <scheme val="none"/>
      </font>
      <fill>
        <patternFill patternType="solid">
          <fgColor rgb="FF000000"/>
          <bgColor rgb="FFF2F2F2"/>
        </patternFill>
      </fill>
      <alignment horizontal="center" vertical="center" textRotation="0" wrapText="0" indent="0" justifyLastLine="0" shrinkToFit="0" readingOrder="0"/>
      <protection locked="1" hidden="0"/>
    </dxf>
    <dxf>
      <border outline="0">
        <bottom style="thin">
          <color rgb="FF000000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35" formatCode="_-* #,##0.00\ _€_-;\-* #,##0.00\ _€_-;_-* &quot;-&quot;??\ _€_-;_-@_-"/>
      <fill>
        <patternFill patternType="solid">
          <fgColor indexed="64"/>
          <bgColor theme="4" tint="0.79998168889431442"/>
        </patternFill>
      </fill>
      <alignment horizontal="center" vertical="center" textRotation="0" wrapText="0" indent="0" justifyLastLine="0" shrinkToFit="0" readingOrder="0"/>
      <border diagonalUp="0" diagonalDown="0">
        <left/>
        <right/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35" formatCode="_-* #,##0.00\ _€_-;\-* #,##0.00\ _€_-;_-* &quot;-&quot;??\ _€_-;_-@_-"/>
      <fill>
        <patternFill patternType="solid">
          <fgColor indexed="64"/>
          <bgColor theme="4" tint="0.79998168889431442"/>
        </patternFill>
      </fill>
      <alignment horizontal="center" vertical="center" textRotation="0" wrapText="0" indent="0" justifyLastLine="0" shrinkToFit="0" readingOrder="0"/>
      <border diagonalUp="0" diagonalDown="0">
        <left/>
        <right/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35" formatCode="_-* #,##0.00\ _€_-;\-* #,##0.00\ _€_-;_-* &quot;-&quot;??\ _€_-;_-@_-"/>
      <fill>
        <patternFill patternType="solid">
          <fgColor indexed="64"/>
          <bgColor theme="4" tint="0.79998168889431442"/>
        </patternFill>
      </fill>
      <alignment horizontal="center" vertical="center" textRotation="0" wrapText="0" indent="0" justifyLastLine="0" shrinkToFit="0" readingOrder="0"/>
      <border diagonalUp="0" diagonalDown="0">
        <left/>
        <right/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35" formatCode="_-* #,##0.00\ _€_-;\-* #,##0.00\ _€_-;_-* &quot;-&quot;??\ _€_-;_-@_-"/>
      <fill>
        <patternFill patternType="solid">
          <fgColor indexed="64"/>
          <bgColor theme="4" tint="0.79998168889431442"/>
        </patternFill>
      </fill>
      <alignment horizontal="center" vertical="center" textRotation="0" wrapText="0" indent="0" justifyLastLine="0" shrinkToFit="0" readingOrder="0"/>
      <border diagonalUp="0" diagonalDown="0">
        <left/>
        <right/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35" formatCode="_-* #,##0.00\ _€_-;\-* #,##0.00\ _€_-;_-* &quot;-&quot;??\ _€_-;_-@_-"/>
      <fill>
        <patternFill patternType="solid">
          <fgColor indexed="64"/>
          <bgColor theme="4" tint="0.79998168889431442"/>
        </patternFill>
      </fill>
      <alignment horizontal="center" vertical="center" textRotation="0" wrapText="0" indent="0" justifyLastLine="0" shrinkToFit="0" readingOrder="0"/>
      <border diagonalUp="0" diagonalDown="0">
        <left/>
        <right/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35" formatCode="_-* #,##0.00\ _€_-;\-* #,##0.00\ _€_-;_-* &quot;-&quot;??\ _€_-;_-@_-"/>
      <fill>
        <patternFill patternType="solid">
          <fgColor indexed="64"/>
          <bgColor theme="4" tint="0.7999816888943144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167" formatCode="d\ hh:mm"/>
      <fill>
        <patternFill patternType="solid">
          <fgColor indexed="64"/>
          <bgColor theme="4" tint="0.79998168889431442"/>
        </patternFill>
      </fill>
      <alignment horizontal="center" vertical="center" textRotation="0" wrapText="0" indent="0" justifyLastLine="0" shrinkToFit="0" readingOrder="0"/>
      <border diagonalUp="0" diagonalDown="0">
        <left/>
        <right/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167" formatCode="d\ hh:mm"/>
      <fill>
        <patternFill patternType="solid">
          <fgColor indexed="64"/>
          <bgColor theme="4" tint="0.79998168889431442"/>
        </patternFill>
      </fill>
      <alignment horizontal="center" vertical="center" textRotation="0" wrapText="0" indent="0" justifyLastLine="0" shrinkToFit="0" readingOrder="0"/>
      <border diagonalUp="0" diagonalDown="0">
        <left/>
        <right/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167" formatCode="d\ hh:mm"/>
      <fill>
        <patternFill patternType="solid">
          <fgColor indexed="64"/>
          <bgColor theme="4" tint="0.7999816888943144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35" formatCode="_-* #,##0.00\ _€_-;\-* #,##0.00\ _€_-;_-* &quot;-&quot;??\ _€_-;_-@_-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35" formatCode="_-* #,##0.00\ _€_-;\-* #,##0.00\ _€_-;_-* &quot;-&quot;??\ _€_-;_-@_-"/>
      <fill>
        <patternFill patternType="solid">
          <fgColor indexed="64"/>
          <bgColor theme="5" tint="0.7999816888943144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165" formatCode="h:mm;@"/>
      <fill>
        <patternFill patternType="solid">
          <fgColor indexed="64"/>
          <bgColor theme="0" tint="-4.9989318521683403E-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165" formatCode="h:mm;@"/>
      <fill>
        <patternFill patternType="solid">
          <fgColor indexed="64"/>
          <bgColor theme="0" tint="-4.9989318521683403E-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165" formatCode="h:mm;@"/>
      <fill>
        <patternFill patternType="solid">
          <fgColor indexed="64"/>
          <bgColor theme="0" tint="-4.9989318521683403E-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165" formatCode="h:mm;@"/>
      <fill>
        <patternFill patternType="solid">
          <fgColor indexed="64"/>
          <bgColor theme="0" tint="-4.9989318521683403E-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165" formatCode="h:mm;@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165" formatCode="h:mm;@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numFmt numFmtId="164" formatCode="[$-F800]dddd\,\ mmmm\ dd\,\ yyyy"/>
      <alignment horizontal="center" vertical="center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border outline="0">
        <top style="thin">
          <color rgb="FF000000"/>
        </top>
      </border>
    </dxf>
    <dxf>
      <border outline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Calibri"/>
        <scheme val="none"/>
      </font>
      <fill>
        <patternFill patternType="solid">
          <fgColor rgb="FF000000"/>
          <bgColor rgb="FFF2F2F2"/>
        </patternFill>
      </fill>
      <alignment horizontal="center" vertical="center" textRotation="0" wrapText="0" indent="0" justifyLastLine="0" shrinkToFit="0" readingOrder="0"/>
      <protection locked="1" hidden="0"/>
    </dxf>
    <dxf>
      <border outline="0">
        <bottom style="thin">
          <color rgb="FF000000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</border>
      <protection locked="1" hidden="0"/>
    </dxf>
    <dxf>
      <numFmt numFmtId="25" formatCode="hh:mm"/>
      <fill>
        <patternFill patternType="solid">
          <fgColor indexed="64"/>
          <bgColor theme="9" tint="0.3999755851924192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25" formatCode="hh:mm"/>
      <fill>
        <patternFill patternType="solid">
          <fgColor indexed="64"/>
          <bgColor theme="9" tint="0.3999755851924192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solid">
          <fgColor indexed="64"/>
          <bgColor theme="9" tint="0.3999755851924192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bottom style="thin">
          <color indexed="64"/>
        </bottom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styles" Target="styles.xml"/><Relationship Id="rId2" Type="http://schemas.openxmlformats.org/officeDocument/2006/relationships/worksheet" Target="worksheets/sheet2.xml"/><Relationship Id="rId16" Type="http://schemas.openxmlformats.org/officeDocument/2006/relationships/theme" Target="theme/theme1.xml"/><Relationship Id="rId20" Type="http://schemas.microsoft.com/office/2006/relationships/vbaProject" Target="vbaProject.bin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_rels/activeX4.xml.rels><?xml version="1.0" encoding="UTF-8" standalone="yes"?>
<Relationships xmlns="http://schemas.openxmlformats.org/package/2006/relationships"><Relationship Id="rId1" Type="http://schemas.microsoft.com/office/2006/relationships/activeXControlBinary" Target="activeX4.bin"/></Relationships>
</file>

<file path=xl/activeX/_rels/activeX5.xml.rels><?xml version="1.0" encoding="UTF-8" standalone="yes"?>
<Relationships xmlns="http://schemas.openxmlformats.org/package/2006/relationships"><Relationship Id="rId1" Type="http://schemas.microsoft.com/office/2006/relationships/activeXControlBinary" Target="activeX5.bin"/></Relationships>
</file>

<file path=xl/activeX/_rels/activeX6.xml.rels><?xml version="1.0" encoding="UTF-8" standalone="yes"?>
<Relationships xmlns="http://schemas.openxmlformats.org/package/2006/relationships"><Relationship Id="rId1" Type="http://schemas.microsoft.com/office/2006/relationships/activeXControlBinary" Target="activeX6.bin"/></Relationships>
</file>

<file path=xl/activeX/_rels/activeX7.xml.rels><?xml version="1.0" encoding="UTF-8" standalone="yes"?>
<Relationships xmlns="http://schemas.openxmlformats.org/package/2006/relationships"><Relationship Id="rId1" Type="http://schemas.microsoft.com/office/2006/relationships/activeXControlBinary" Target="activeX7.bin"/></Relationships>
</file>

<file path=xl/activeX/_rels/activeX8.xml.rels><?xml version="1.0" encoding="UTF-8" standalone="yes"?>
<Relationships xmlns="http://schemas.openxmlformats.org/package/2006/relationships"><Relationship Id="rId1" Type="http://schemas.microsoft.com/office/2006/relationships/activeXControlBinary" Target="activeX8.bin"/></Relationships>
</file>

<file path=xl/activeX/_rels/activeX9.xml.rels><?xml version="1.0" encoding="UTF-8" standalone="yes"?>
<Relationships xmlns="http://schemas.openxmlformats.org/package/2006/relationships"><Relationship Id="rId1" Type="http://schemas.microsoft.com/office/2006/relationships/activeXControlBinary" Target="activeX9.bin"/></Relationships>
</file>

<file path=xl/activeX/_rels/activeX10.xml.rels><?xml version="1.0" encoding="UTF-8" standalone="yes"?>
<Relationships xmlns="http://schemas.openxmlformats.org/package/2006/relationships"><Relationship Id="rId1" Type="http://schemas.microsoft.com/office/2006/relationships/activeXControlBinary" Target="activeX10.bin"/></Relationships>
</file>

<file path=xl/activeX/_rels/activeX11.xml.rels><?xml version="1.0" encoding="UTF-8" standalone="yes"?>
<Relationships xmlns="http://schemas.openxmlformats.org/package/2006/relationships"><Relationship Id="rId1" Type="http://schemas.microsoft.com/office/2006/relationships/activeXControlBinary" Target="activeX11.bin"/></Relationships>
</file>

<file path=xl/activeX/_rels/activeX12.xml.rels><?xml version="1.0" encoding="UTF-8" standalone="yes"?>
<Relationships xmlns="http://schemas.openxmlformats.org/package/2006/relationships"><Relationship Id="rId1" Type="http://schemas.microsoft.com/office/2006/relationships/activeXControlBinary" Target="activeX12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3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4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5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6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7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8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9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0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ctrlProps/ctrlProp1.xml><?xml version="1.0" encoding="utf-8"?>
<formControlPr xmlns="http://schemas.microsoft.com/office/spreadsheetml/2009/9/main" objectType="Button" lockText="1"/>
</file>

<file path=xl/drawings/_rels/vmlDrawing2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_rels/vmlDrawing3.vml.rels><?xml version="1.0" encoding="UTF-8" standalone="yes"?>
<Relationships xmlns="http://schemas.openxmlformats.org/package/2006/relationships"><Relationship Id="rId1" Type="http://schemas.openxmlformats.org/officeDocument/2006/relationships/image" Target="../media/image2.emf"/></Relationships>
</file>

<file path=xl/drawings/_rels/vmlDrawing4.vml.rels><?xml version="1.0" encoding="UTF-8" standalone="yes"?>
<Relationships xmlns="http://schemas.openxmlformats.org/package/2006/relationships"><Relationship Id="rId1" Type="http://schemas.openxmlformats.org/officeDocument/2006/relationships/image" Target="../media/image3.emf"/></Relationships>
</file>

<file path=xl/drawings/_rels/vmlDrawing5.vml.rels><?xml version="1.0" encoding="UTF-8" standalone="yes"?>
<Relationships xmlns="http://schemas.openxmlformats.org/package/2006/relationships"><Relationship Id="rId1" Type="http://schemas.openxmlformats.org/officeDocument/2006/relationships/image" Target="../media/image4.emf"/></Relationships>
</file>

<file path=xl/drawings/_rels/vmlDrawing6.vml.rels><?xml version="1.0" encoding="UTF-8" standalone="yes"?>
<Relationships xmlns="http://schemas.openxmlformats.org/package/2006/relationships"><Relationship Id="rId1" Type="http://schemas.openxmlformats.org/officeDocument/2006/relationships/image" Target="../media/image5.emf"/></Relationships>
</file>

<file path=xl/drawings/_rels/vmlDrawing7.vml.rels><?xml version="1.0" encoding="UTF-8" standalone="yes"?>
<Relationships xmlns="http://schemas.openxmlformats.org/package/2006/relationships"><Relationship Id="rId1" Type="http://schemas.openxmlformats.org/officeDocument/2006/relationships/image" Target="../media/image6.emf"/></Relationships>
</file>

<file path=xl/drawings/_rels/vmlDrawing8.vml.rels><?xml version="1.0" encoding="UTF-8" standalone="yes"?>
<Relationships xmlns="http://schemas.openxmlformats.org/package/2006/relationships"><Relationship Id="rId1" Type="http://schemas.openxmlformats.org/officeDocument/2006/relationships/image" Target="../media/image7.emf"/></Relationships>
</file>

<file path=xl/drawings/_rels/vmlDrawing9.vml.rels><?xml version="1.0" encoding="UTF-8" standalone="yes"?>
<Relationships xmlns="http://schemas.openxmlformats.org/package/2006/relationships"><Relationship Id="rId1" Type="http://schemas.openxmlformats.org/officeDocument/2006/relationships/image" Target="../media/image8.emf"/></Relationships>
</file>

<file path=xl/drawings/_rels/vmlDrawing10.vml.rels><?xml version="1.0" encoding="UTF-8" standalone="yes"?>
<Relationships xmlns="http://schemas.openxmlformats.org/package/2006/relationships"><Relationship Id="rId1" Type="http://schemas.openxmlformats.org/officeDocument/2006/relationships/image" Target="../media/image9.emf"/></Relationships>
</file>

<file path=xl/drawings/_rels/vmlDrawing1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0.emf"/></Relationships>
</file>

<file path=xl/drawings/_rels/vmlDrawing12.vml.rels><?xml version="1.0" encoding="UTF-8" standalone="yes"?>
<Relationships xmlns="http://schemas.openxmlformats.org/package/2006/relationships"><Relationship Id="rId1" Type="http://schemas.openxmlformats.org/officeDocument/2006/relationships/image" Target="../media/image11.emf"/></Relationships>
</file>

<file path=xl/drawings/_rels/vmlDrawing13.vml.rels><?xml version="1.0" encoding="UTF-8" standalone="yes"?>
<Relationships xmlns="http://schemas.openxmlformats.org/package/2006/relationships"><Relationship Id="rId1" Type="http://schemas.openxmlformats.org/officeDocument/2006/relationships/image" Target="../media/image12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120650</xdr:colOff>
      <xdr:row>2</xdr:row>
      <xdr:rowOff>6350</xdr:rowOff>
    </xdr:from>
    <xdr:to>
      <xdr:col>5</xdr:col>
      <xdr:colOff>381000</xdr:colOff>
      <xdr:row>4</xdr:row>
      <xdr:rowOff>133350</xdr:rowOff>
    </xdr:to>
    <xdr:sp macro="" textlink="">
      <xdr:nvSpPr>
        <xdr:cNvPr id="2" name="Rectangle à coins arrondis 1"/>
        <xdr:cNvSpPr/>
      </xdr:nvSpPr>
      <xdr:spPr>
        <a:xfrm>
          <a:off x="3162300" y="374650"/>
          <a:ext cx="1784350" cy="495300"/>
        </a:xfrm>
        <a:prstGeom prst="wedgeRoundRectCallout">
          <a:avLst>
            <a:gd name="adj1" fmla="val -91191"/>
            <a:gd name="adj2" fmla="val -57668"/>
            <a:gd name="adj3" fmla="val 16667"/>
          </a:avLst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le 1 indique le jour d'après pour faciliter les calculs</a:t>
          </a:r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342900</xdr:colOff>
          <xdr:row>7</xdr:row>
          <xdr:rowOff>6350</xdr:rowOff>
        </xdr:from>
        <xdr:to>
          <xdr:col>3</xdr:col>
          <xdr:colOff>749300</xdr:colOff>
          <xdr:row>10</xdr:row>
          <xdr:rowOff>25400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54864" tIns="54864" rIns="54864" bIns="54864" anchor="ctr" upright="1"/>
            <a:lstStyle/>
            <a:p>
              <a:pPr algn="ctr" rtl="0">
                <a:defRPr sz="1000"/>
              </a:pPr>
              <a:r>
                <a:rPr lang="fr-FR" sz="1800" b="0" i="0" u="none" strike="noStrike" baseline="0">
                  <a:solidFill>
                    <a:srgbClr val="FF0000"/>
                  </a:solidFill>
                  <a:latin typeface="Calibri"/>
                  <a:cs typeface="Calibri"/>
                </a:rPr>
                <a:t>REINITIALISATION DU CLASSEUR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781050</xdr:colOff>
      <xdr:row>23</xdr:row>
      <xdr:rowOff>25400</xdr:rowOff>
    </xdr:from>
    <xdr:to>
      <xdr:col>6</xdr:col>
      <xdr:colOff>501650</xdr:colOff>
      <xdr:row>29</xdr:row>
      <xdr:rowOff>6350</xdr:rowOff>
    </xdr:to>
    <xdr:sp macro="" textlink="">
      <xdr:nvSpPr>
        <xdr:cNvPr id="2" name="Rectangle à coins arrondis 1"/>
        <xdr:cNvSpPr/>
      </xdr:nvSpPr>
      <xdr:spPr>
        <a:xfrm>
          <a:off x="4286250" y="4260850"/>
          <a:ext cx="2584450" cy="1085850"/>
        </a:xfrm>
        <a:prstGeom prst="wedgeRoundRectCallout">
          <a:avLst>
            <a:gd name="adj1" fmla="val -77835"/>
            <a:gd name="adj2" fmla="val -20541"/>
            <a:gd name="adj3" fmla="val 16667"/>
          </a:avLst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pas la peine de mettre de</a:t>
          </a:r>
          <a:r>
            <a:rPr lang="fr-FR" sz="1100" baseline="0"/>
            <a:t> RESERVE </a:t>
          </a:r>
        </a:p>
        <a:p>
          <a:pPr algn="l"/>
          <a:r>
            <a:rPr lang="fr-FR" sz="1100" baseline="0"/>
            <a:t>j'ai mis en tableau, les nouveaux éléments seront pris en compte automatiquement</a:t>
          </a:r>
          <a:endParaRPr lang="fr-FR" sz="1100"/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762000</xdr:colOff>
          <xdr:row>0</xdr:row>
          <xdr:rowOff>184150</xdr:rowOff>
        </xdr:from>
        <xdr:to>
          <xdr:col>20</xdr:col>
          <xdr:colOff>12700</xdr:colOff>
          <xdr:row>4</xdr:row>
          <xdr:rowOff>69850</xdr:rowOff>
        </xdr:to>
        <xdr:sp macro="" textlink="">
          <xdr:nvSpPr>
            <xdr:cNvPr id="4097" name="CommandButton1" hidden="1">
              <a:extLst>
                <a:ext uri="{63B3BB69-23CF-44E3-9099-C40C66FF867C}">
                  <a14:compatExt spid="_x0000_s409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PrintsWithSheet="0"/>
      </xdr:twoCellAnchor>
    </mc:Choice>
    <mc:Fallback/>
  </mc:AlternateContent>
</xdr:wsDr>
</file>

<file path=xl/drawings/drawing4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762000</xdr:colOff>
          <xdr:row>0</xdr:row>
          <xdr:rowOff>152400</xdr:rowOff>
        </xdr:from>
        <xdr:to>
          <xdr:col>20</xdr:col>
          <xdr:colOff>6350</xdr:colOff>
          <xdr:row>4</xdr:row>
          <xdr:rowOff>50800</xdr:rowOff>
        </xdr:to>
        <xdr:sp macro="" textlink="">
          <xdr:nvSpPr>
            <xdr:cNvPr id="5121" name="CommandButton1" hidden="1">
              <a:extLst>
                <a:ext uri="{63B3BB69-23CF-44E3-9099-C40C66FF867C}">
                  <a14:compatExt spid="_x0000_s512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PrintsWithSheet="0"/>
      </xdr:twoCellAnchor>
    </mc:Choice>
    <mc:Fallback/>
  </mc:AlternateContent>
</xdr:wsDr>
</file>

<file path=xl/drawings/drawing5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787400</xdr:colOff>
          <xdr:row>0</xdr:row>
          <xdr:rowOff>158750</xdr:rowOff>
        </xdr:from>
        <xdr:to>
          <xdr:col>20</xdr:col>
          <xdr:colOff>12700</xdr:colOff>
          <xdr:row>4</xdr:row>
          <xdr:rowOff>44450</xdr:rowOff>
        </xdr:to>
        <xdr:sp macro="" textlink="">
          <xdr:nvSpPr>
            <xdr:cNvPr id="6145" name="CommandButton1" hidden="1">
              <a:extLst>
                <a:ext uri="{63B3BB69-23CF-44E3-9099-C40C66FF867C}">
                  <a14:compatExt spid="_x0000_s614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PrintsWithSheet="0"/>
      </xdr:twoCellAnchor>
    </mc:Choice>
    <mc:Fallback/>
  </mc:AlternateContent>
</xdr:wsDr>
</file>

<file path=xl/drawings/drawing6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19</xdr:col>
          <xdr:colOff>0</xdr:colOff>
          <xdr:row>0</xdr:row>
          <xdr:rowOff>177800</xdr:rowOff>
        </xdr:from>
        <xdr:to>
          <xdr:col>20</xdr:col>
          <xdr:colOff>31750</xdr:colOff>
          <xdr:row>4</xdr:row>
          <xdr:rowOff>63500</xdr:rowOff>
        </xdr:to>
        <xdr:sp macro="" textlink="">
          <xdr:nvSpPr>
            <xdr:cNvPr id="7169" name="CommandButton1" hidden="1">
              <a:extLst>
                <a:ext uri="{63B3BB69-23CF-44E3-9099-C40C66FF867C}">
                  <a14:compatExt spid="_x0000_s716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PrintsWithSheet="0"/>
      </xdr:twoCellAnchor>
    </mc:Choice>
    <mc:Fallback/>
  </mc:AlternateContent>
</xdr:wsDr>
</file>

<file path=xl/drawings/drawing7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774700</xdr:colOff>
          <xdr:row>0</xdr:row>
          <xdr:rowOff>177800</xdr:rowOff>
        </xdr:from>
        <xdr:to>
          <xdr:col>20</xdr:col>
          <xdr:colOff>0</xdr:colOff>
          <xdr:row>4</xdr:row>
          <xdr:rowOff>63500</xdr:rowOff>
        </xdr:to>
        <xdr:sp macro="" textlink="">
          <xdr:nvSpPr>
            <xdr:cNvPr id="8193" name="CommandButton1" hidden="1">
              <a:extLst>
                <a:ext uri="{63B3BB69-23CF-44E3-9099-C40C66FF867C}">
                  <a14:compatExt spid="_x0000_s819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PrintsWithSheet="0"/>
      </xdr:twoCellAnchor>
    </mc:Choice>
    <mc:Fallback/>
  </mc:AlternateContent>
</xdr:wsDr>
</file>

<file path=xl/drawings/drawing8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774700</xdr:colOff>
          <xdr:row>0</xdr:row>
          <xdr:rowOff>177800</xdr:rowOff>
        </xdr:from>
        <xdr:to>
          <xdr:col>20</xdr:col>
          <xdr:colOff>0</xdr:colOff>
          <xdr:row>4</xdr:row>
          <xdr:rowOff>63500</xdr:rowOff>
        </xdr:to>
        <xdr:sp macro="" textlink="">
          <xdr:nvSpPr>
            <xdr:cNvPr id="9217" name="CommandButton1" hidden="1">
              <a:extLst>
                <a:ext uri="{63B3BB69-23CF-44E3-9099-C40C66FF867C}">
                  <a14:compatExt spid="_x0000_s921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PrintsWithSheet="0"/>
      </xdr:twoCellAnchor>
    </mc:Choice>
    <mc:Fallback/>
  </mc:AlternateContent>
</xdr:wsDr>
</file>

<file path=xl/drawings/drawing9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19</xdr:col>
          <xdr:colOff>0</xdr:colOff>
          <xdr:row>0</xdr:row>
          <xdr:rowOff>184150</xdr:rowOff>
        </xdr:from>
        <xdr:to>
          <xdr:col>20</xdr:col>
          <xdr:colOff>31750</xdr:colOff>
          <xdr:row>4</xdr:row>
          <xdr:rowOff>69850</xdr:rowOff>
        </xdr:to>
        <xdr:sp macro="" textlink="">
          <xdr:nvSpPr>
            <xdr:cNvPr id="10241" name="CommandButton1" hidden="1">
              <a:extLst>
                <a:ext uri="{63B3BB69-23CF-44E3-9099-C40C66FF867C}">
                  <a14:compatExt spid="_x0000_s1024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PrintsWithSheet="0"/>
      </xdr:twoCellAnchor>
    </mc:Choice>
    <mc:Fallback/>
  </mc:AlternateContent>
</xdr:wsDr>
</file>

<file path=xl/drawings/drawing10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19</xdr:col>
          <xdr:colOff>0</xdr:colOff>
          <xdr:row>0</xdr:row>
          <xdr:rowOff>165100</xdr:rowOff>
        </xdr:from>
        <xdr:to>
          <xdr:col>20</xdr:col>
          <xdr:colOff>31750</xdr:colOff>
          <xdr:row>4</xdr:row>
          <xdr:rowOff>50800</xdr:rowOff>
        </xdr:to>
        <xdr:sp macro="" textlink="">
          <xdr:nvSpPr>
            <xdr:cNvPr id="11265" name="CommandButton1" hidden="1">
              <a:extLst>
                <a:ext uri="{63B3BB69-23CF-44E3-9099-C40C66FF867C}">
                  <a14:compatExt spid="_x0000_s1126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PrintsWithSheet="0"/>
      </xdr:twoCellAnchor>
    </mc:Choice>
    <mc:Fallback/>
  </mc:AlternateContent>
</xdr:wsDr>
</file>

<file path=xl/drawings/drawing1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19</xdr:col>
          <xdr:colOff>0</xdr:colOff>
          <xdr:row>0</xdr:row>
          <xdr:rowOff>177800</xdr:rowOff>
        </xdr:from>
        <xdr:to>
          <xdr:col>20</xdr:col>
          <xdr:colOff>31750</xdr:colOff>
          <xdr:row>4</xdr:row>
          <xdr:rowOff>63500</xdr:rowOff>
        </xdr:to>
        <xdr:sp macro="" textlink="">
          <xdr:nvSpPr>
            <xdr:cNvPr id="12289" name="CommandButton1" hidden="1">
              <a:extLst>
                <a:ext uri="{63B3BB69-23CF-44E3-9099-C40C66FF867C}">
                  <a14:compatExt spid="_x0000_s1228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PrintsWithSheet="0"/>
      </xdr:twoCellAnchor>
    </mc:Choice>
    <mc:Fallback/>
  </mc:AlternateContent>
</xdr:wsDr>
</file>

<file path=xl/drawings/drawing1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774700</xdr:colOff>
          <xdr:row>0</xdr:row>
          <xdr:rowOff>190500</xdr:rowOff>
        </xdr:from>
        <xdr:to>
          <xdr:col>20</xdr:col>
          <xdr:colOff>0</xdr:colOff>
          <xdr:row>4</xdr:row>
          <xdr:rowOff>76200</xdr:rowOff>
        </xdr:to>
        <xdr:sp macro="" textlink="">
          <xdr:nvSpPr>
            <xdr:cNvPr id="13313" name="CommandButton1" hidden="1">
              <a:extLst>
                <a:ext uri="{63B3BB69-23CF-44E3-9099-C40C66FF867C}">
                  <a14:compatExt spid="_x0000_s1331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PrintsWithSheet="0"/>
      </xdr:twoCellAnchor>
    </mc:Choice>
    <mc:Fallback/>
  </mc:AlternateContent>
</xdr:wsDr>
</file>

<file path=xl/drawings/drawing13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774700</xdr:colOff>
          <xdr:row>0</xdr:row>
          <xdr:rowOff>177800</xdr:rowOff>
        </xdr:from>
        <xdr:to>
          <xdr:col>20</xdr:col>
          <xdr:colOff>0</xdr:colOff>
          <xdr:row>4</xdr:row>
          <xdr:rowOff>63500</xdr:rowOff>
        </xdr:to>
        <xdr:sp macro="" textlink="">
          <xdr:nvSpPr>
            <xdr:cNvPr id="14337" name="CommandButton1" hidden="1">
              <a:extLst>
                <a:ext uri="{63B3BB69-23CF-44E3-9099-C40C66FF867C}">
                  <a14:compatExt spid="_x0000_s1433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PrintsWithSheet="0"/>
      </xdr:twoCellAnchor>
    </mc:Choice>
    <mc:Fallback/>
  </mc:AlternateContent>
</xdr:wsDr>
</file>

<file path=xl/drawings/drawing14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19</xdr:col>
          <xdr:colOff>0</xdr:colOff>
          <xdr:row>0</xdr:row>
          <xdr:rowOff>165100</xdr:rowOff>
        </xdr:from>
        <xdr:to>
          <xdr:col>20</xdr:col>
          <xdr:colOff>31750</xdr:colOff>
          <xdr:row>4</xdr:row>
          <xdr:rowOff>50800</xdr:rowOff>
        </xdr:to>
        <xdr:sp macro="" textlink="">
          <xdr:nvSpPr>
            <xdr:cNvPr id="15361" name="CommandButton1" hidden="1">
              <a:extLst>
                <a:ext uri="{63B3BB69-23CF-44E3-9099-C40C66FF867C}">
                  <a14:compatExt spid="_x0000_s1536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PrintsWithSheet="0"/>
      </xdr:twoCellAnchor>
    </mc:Choice>
    <mc:Fallback/>
  </mc:AlternateContent>
</xdr:wsDr>
</file>

<file path=xl/tables/table1.xml><?xml version="1.0" encoding="utf-8"?>
<table xmlns="http://schemas.openxmlformats.org/spreadsheetml/2006/main" id="1" name="Tableau1" displayName="Tableau1" ref="A22:C65" totalsRowShown="0" tableBorderDxfId="291">
  <autoFilter ref="A22:C65"/>
  <tableColumns count="3">
    <tableColumn id="1" name="Services" dataDxfId="290"/>
    <tableColumn id="2" name="debut" dataDxfId="289"/>
    <tableColumn id="3" name="fin" dataDxfId="288"/>
  </tableColumns>
  <tableStyleInfo name="TableStyleMedium14" showFirstColumn="0" showLastColumn="0" showRowStripes="1" showColumnStripes="0"/>
</table>
</file>

<file path=xl/tables/table2.xml><?xml version="1.0" encoding="utf-8"?>
<table xmlns="http://schemas.openxmlformats.org/spreadsheetml/2006/main" id="5" name="Horaires356" displayName="Horaires356" ref="A12:S49" totalsRowShown="0" headerRowDxfId="287" dataDxfId="285" headerRowBorderDxfId="286" tableBorderDxfId="284" totalsRowBorderDxfId="283">
  <autoFilter ref="A12:S49"/>
  <tableColumns count="19">
    <tableColumn id="1" name="Date" dataDxfId="282"/>
    <tableColumn id="2" name="Service" dataDxfId="281"/>
    <tableColumn id="3" name="début" dataDxfId="280"/>
    <tableColumn id="4" name="Fin" dataDxfId="279"/>
    <tableColumn id="5" name="PP Début" dataDxfId="278"/>
    <tableColumn id="6" name="PP Fin" dataDxfId="277"/>
    <tableColumn id="7" name="PNP Début" dataDxfId="276"/>
    <tableColumn id="8" name="PNP Fin" dataDxfId="275"/>
    <tableColumn id="10" name="Majoration" dataDxfId="274" dataCellStyle="Milliers">
      <calculatedColumnFormula>0.1*(Horaires356[[#This Row],[Heures de nuit]]+Horaires356[[#This Row],[heures jour dimanche]]+Horaires356[[#This Row],[heures jour fériés]])</calculatedColumnFormula>
    </tableColumn>
    <tableColumn id="9" name="Heures totales payées" dataDxfId="273" dataCellStyle="Milliers">
      <calculatedColumnFormula>(MOD(Horaires356[[#This Row],[Fin]]-Horaires356[[#This Row],[début]],1)-MOD(Horaires356[[#This Row],[PNP Fin]]-Horaires356[[#This Row],[PNP Début]],1))*24</calculatedColumnFormula>
    </tableColumn>
    <tableColumn id="15" name="PNP Début corrigé" dataDxfId="272">
      <calculatedColumnFormula>IF(Horaires356[[#This Row],[PNP Début]]=0,0,IF(Horaires356[[#This Row],[PNP Début]]&lt;Horaires356[[#This Row],[début]],1,0)+Horaires356[[#This Row],[PNP Début]])</calculatedColumnFormula>
    </tableColumn>
    <tableColumn id="16" name="PNP Fin corrigée" dataDxfId="271">
      <calculatedColumnFormula>IF(Horaires356[[#This Row],[PNP Fin]]=0,0,IF(Horaires356[[#This Row],[PNP Fin]]&lt;Horaires356[[#This Row],[début]],1,0)+Horaires356[[#This Row],[PNP Fin]])</calculatedColumnFormula>
    </tableColumn>
    <tableColumn id="14" name="Fin corrigée si nuit" dataDxfId="270">
      <calculatedColumnFormula>IF(Horaires356[[#This Row],[Fin]]&lt;Horaires356[[#This Row],[début]],1,0)+Horaires356[[#This Row],[Fin]]</calculatedColumnFormula>
    </tableColumn>
    <tableColumn id="13" name="Heures de nuit" dataDxfId="269" dataCellStyle="Milliers">
      <calculatedColumnFormula>IF(Horaires356[[#This Row],[Fin]]&lt;Horaires356[[#This Row],[début]],MAX(0,MIN(Horaires356[[#This Row],[Fin corrigée si nuit]],fin_nuit)-MAX(Horaires356[[#This Row],[début]],deb_nuit))*24,(MAX(deb_nuit,Horaires356[[#This Row],[Fin]])-MAX(deb_nuit,Horaires356[[#This Row],[début]])+MAX(MIN(fin_nuit-1,Horaires356[[#This Row],[Fin]])-MIN(fin_nuit-1,Horaires356[[#This Row],[début]]),0))*24)</calculatedColumnFormula>
    </tableColumn>
    <tableColumn id="17" name="Heures de nuit hors PNP" dataDxfId="268" dataCellStyle="Milliers">
      <calculatedColumnFormula>(MAX(0,MIN(Horaires356[[#This Row],[Fin corrigée si nuit]],fin_nuit)-MAX(Horaires356[[#This Row],[début]],deb_nuit))-IF(Horaires356[[#This Row],[PNP Début]]=0,0,MIN(Horaires356[[#This Row],[PNP Fin corrigée]],fin_nuit)-MAX(Horaires356[[#This Row],[PNP Début corrigé]],deb_nuit)))*24</calculatedColumnFormula>
    </tableColumn>
    <tableColumn id="18" name="heures jour dimanche" dataDxfId="267" dataCellStyle="Milliers">
      <calculatedColumnFormula>(IF(WEEKDAY(Horaires356[[#This Row],[Date]],2)=7,MAX(0,MIN(fin_dimJF,Horaires356[[#This Row],[Fin corrigée si nuit]])-MAX(deb_dimJF,Horaires356[[#This Row],[début]])),0)+IF(WEEKDAY(Horaires356[[#This Row],[Date]],2)=6,MAX(0,Horaires356[[#This Row],[Fin corrigée si nuit]]-(1+deb_dimJF)),0))*24</calculatedColumnFormula>
    </tableColumn>
    <tableColumn id="11" name="heures jour dimanche hors PNP" dataDxfId="266" dataCellStyle="Milliers">
      <calculatedColumnFormula>(IF(WEEKDAY(Horaires356[[#This Row],[Date]],2)=7,MAX(0,MIN(fin_dimJF,Horaires356[[#This Row],[Fin corrigée si nuit]])-MAX(deb_dimJF,Horaires356[[#This Row],[début]])),0)+IF(WEEKDAY(Horaires356[[#This Row],[Date]],2)=6,MAX(0,Horaires356[[#This Row],[Fin corrigée si nuit]]-(1+deb_dimJF)),0))*24-
(IF(WEEKDAY(Horaires356[[#This Row],[Date]],2)=7,MAX(0,MIN(fin_dimJF,Horaires356[[#This Row],[PNP Fin corrigée]])-MAX(deb_dimJF,Horaires356[[#This Row],[PNP Début corrigé]])),0)+IF(WEEKDAY(Horaires356[[#This Row],[Date]],2)=6,MAX(0,Horaires356[[#This Row],[PNP Fin corrigée]]-(1+deb_dimJF)),0))*24</calculatedColumnFormula>
    </tableColumn>
    <tableColumn id="19" name="heures jour fériés" dataDxfId="265" dataCellStyle="Milliers">
      <calculatedColumnFormula>(IF(COUNTIF(JF,Horaires356[[#This Row],[Date]]),MAX(0,MIN(fin_dimJF,Horaires356[[#This Row],[Fin corrigée si nuit]])-MAX(deb_dimJF,Horaires356[[#This Row],[début]])),0)+IF(COUNTIF(JF,Horaires356[[#This Row],[Date]]+1),MAX(0,Horaires356[[#This Row],[Fin corrigée si nuit]]-(1+deb_dimJF)),0))*24</calculatedColumnFormula>
    </tableColumn>
    <tableColumn id="12" name="heures jour fériés hors PNP" dataDxfId="264" dataCellStyle="Milliers">
      <calculatedColumnFormula>(IF(COUNTIF(JF,Horaires356[[#This Row],[Date]]),MAX(0,MIN(fin_dimJF,Horaires356[[#This Row],[Fin corrigée si nuit]])-MAX(deb_dimJF,Horaires356[[#This Row],[début]])),0)+IF(COUNTIF(JF,Horaires356[[#This Row],[Date]]+1),MAX(0,Horaires356[[#This Row],[Fin corrigée si nuit]]-(1+deb_dimJF)),0))*24-
(IF(COUNTIF(JF,Horaires356[[#This Row],[Date]]),MAX(0,MIN(fin_dimJF,Horaires356[[#This Row],[PNP Fin corrigée]])-MAX(deb_dimJF,Horaires356[[#This Row],[PNP Début corrigé]])),0)+IF(COUNTIF(JF,Horaires356[[#This Row],[Date]]+1),MAX(0,Horaires356[[#This Row],[PNP Fin corrigée]]-(1+deb_dimJF)),0))*24</calculatedColumnFormula>
    </tableColumn>
  </tableColumns>
  <tableStyleInfo name="TableStyleLight9" showFirstColumn="0" showLastColumn="0" showRowStripes="1" showColumnStripes="0"/>
</table>
</file>

<file path=xl/tables/table3.xml><?xml version="1.0" encoding="utf-8"?>
<table xmlns="http://schemas.openxmlformats.org/spreadsheetml/2006/main" id="6" name="Horaires3567" displayName="Horaires3567" ref="A12:S49" totalsRowShown="0" headerRowDxfId="263" dataDxfId="261" headerRowBorderDxfId="262" tableBorderDxfId="260" totalsRowBorderDxfId="259">
  <autoFilter ref="A12:S49"/>
  <tableColumns count="19">
    <tableColumn id="1" name="Date" dataDxfId="258"/>
    <tableColumn id="2" name="Service" dataDxfId="257"/>
    <tableColumn id="3" name="début" dataDxfId="256"/>
    <tableColumn id="4" name="Fin" dataDxfId="255"/>
    <tableColumn id="5" name="PP Début" dataDxfId="254"/>
    <tableColumn id="6" name="PP Fin" dataDxfId="253"/>
    <tableColumn id="7" name="PNP Début" dataDxfId="252"/>
    <tableColumn id="8" name="PNP Fin" dataDxfId="251"/>
    <tableColumn id="10" name="Majoration" dataDxfId="250" dataCellStyle="Milliers">
      <calculatedColumnFormula>0.1*(Horaires3567[[#This Row],[Heures de nuit]]+Horaires3567[[#This Row],[heures jour dimanche]]+Horaires3567[[#This Row],[heures jour fériés]])</calculatedColumnFormula>
    </tableColumn>
    <tableColumn id="9" name="Heures totales payées" dataDxfId="249" dataCellStyle="Milliers">
      <calculatedColumnFormula>(MOD(Horaires3567[[#This Row],[Fin]]-Horaires3567[[#This Row],[début]],1)-MOD(Horaires3567[[#This Row],[PNP Fin]]-Horaires3567[[#This Row],[PNP Début]],1))*24</calculatedColumnFormula>
    </tableColumn>
    <tableColumn id="15" name="PNP Début corrigé" dataDxfId="248">
      <calculatedColumnFormula>IF(Horaires3567[[#This Row],[PNP Début]]=0,0,IF(Horaires3567[[#This Row],[PNP Début]]&lt;Horaires3567[[#This Row],[début]],1,0)+Horaires3567[[#This Row],[PNP Début]])</calculatedColumnFormula>
    </tableColumn>
    <tableColumn id="16" name="PNP Fin corrigée" dataDxfId="247">
      <calculatedColumnFormula>IF(Horaires3567[[#This Row],[PNP Fin]]=0,0,IF(Horaires3567[[#This Row],[PNP Fin]]&lt;Horaires3567[[#This Row],[début]],1,0)+Horaires3567[[#This Row],[PNP Fin]])</calculatedColumnFormula>
    </tableColumn>
    <tableColumn id="14" name="Fin corrigée si nuit" dataDxfId="246">
      <calculatedColumnFormula>IF(Horaires3567[[#This Row],[Fin]]&lt;Horaires3567[[#This Row],[début]],1,0)+Horaires3567[[#This Row],[Fin]]</calculatedColumnFormula>
    </tableColumn>
    <tableColumn id="13" name="Heures de nuit" dataDxfId="245" dataCellStyle="Milliers">
      <calculatedColumnFormula>IF(Horaires3567[[#This Row],[Fin]]&lt;Horaires3567[[#This Row],[début]],MAX(0,MIN(Horaires3567[[#This Row],[Fin corrigée si nuit]],fin_nuit)-MAX(Horaires3567[[#This Row],[début]],deb_nuit))*24,(MAX(deb_nuit,Horaires3567[[#This Row],[Fin]])-MAX(deb_nuit,Horaires3567[[#This Row],[début]])+MAX(MIN(fin_nuit-1,Horaires3567[[#This Row],[Fin]])-MIN(fin_nuit-1,Horaires3567[[#This Row],[début]]),0))*24)</calculatedColumnFormula>
    </tableColumn>
    <tableColumn id="17" name="Heures de nuit hors PNP" dataDxfId="244" dataCellStyle="Milliers">
      <calculatedColumnFormula>(MAX(0,MIN(Horaires3567[[#This Row],[Fin corrigée si nuit]],fin_nuit)-MAX(Horaires3567[[#This Row],[début]],deb_nuit))-IF(Horaires3567[[#This Row],[PNP Début]]=0,0,MIN(Horaires3567[[#This Row],[PNP Fin corrigée]],fin_nuit)-MAX(Horaires3567[[#This Row],[PNP Début corrigé]],deb_nuit)))*24</calculatedColumnFormula>
    </tableColumn>
    <tableColumn id="18" name="heures jour dimanche" dataDxfId="243" dataCellStyle="Milliers">
      <calculatedColumnFormula>(IF(WEEKDAY(Horaires3567[[#This Row],[Date]],2)=7,MAX(0,MIN(fin_dimJF,Horaires3567[[#This Row],[Fin corrigée si nuit]])-MAX(deb_dimJF,Horaires3567[[#This Row],[début]])),0)+IF(WEEKDAY(Horaires3567[[#This Row],[Date]],2)=6,MAX(0,Horaires3567[[#This Row],[Fin corrigée si nuit]]-(1+deb_dimJF)),0))*24</calculatedColumnFormula>
    </tableColumn>
    <tableColumn id="11" name="heures jour dimanche hors PNP" dataDxfId="242" dataCellStyle="Milliers">
      <calculatedColumnFormula>(IF(WEEKDAY(Horaires3567[[#This Row],[Date]],2)=7,MAX(0,MIN(fin_dimJF,Horaires3567[[#This Row],[Fin corrigée si nuit]])-MAX(deb_dimJF,Horaires3567[[#This Row],[début]])),0)+IF(WEEKDAY(Horaires3567[[#This Row],[Date]],2)=6,MAX(0,Horaires3567[[#This Row],[Fin corrigée si nuit]]-(1+deb_dimJF)),0))*24-
(IF(WEEKDAY(Horaires3567[[#This Row],[Date]],2)=7,MAX(0,MIN(fin_dimJF,Horaires3567[[#This Row],[PNP Fin corrigée]])-MAX(deb_dimJF,Horaires3567[[#This Row],[PNP Début corrigé]])),0)+IF(WEEKDAY(Horaires3567[[#This Row],[Date]],2)=6,MAX(0,Horaires3567[[#This Row],[PNP Fin corrigée]]-(1+deb_dimJF)),0))*24</calculatedColumnFormula>
    </tableColumn>
    <tableColumn id="19" name="heures jour fériés" dataDxfId="241" dataCellStyle="Milliers">
      <calculatedColumnFormula>(IF(COUNTIF(JF,Horaires3567[[#This Row],[Date]]),MAX(0,MIN(fin_dimJF,Horaires3567[[#This Row],[Fin corrigée si nuit]])-MAX(deb_dimJF,Horaires3567[[#This Row],[début]])),0)+IF(COUNTIF(JF,Horaires3567[[#This Row],[Date]]+1),MAX(0,Horaires3567[[#This Row],[Fin corrigée si nuit]]-(1+deb_dimJF)),0))*24</calculatedColumnFormula>
    </tableColumn>
    <tableColumn id="12" name="heures jour fériés hors PNP" dataDxfId="240" dataCellStyle="Milliers">
      <calculatedColumnFormula>(IF(COUNTIF(JF,Horaires3567[[#This Row],[Date]]),MAX(0,MIN(fin_dimJF,Horaires3567[[#This Row],[Fin corrigée si nuit]])-MAX(deb_dimJF,Horaires3567[[#This Row],[début]])),0)+IF(COUNTIF(JF,Horaires3567[[#This Row],[Date]]+1),MAX(0,Horaires3567[[#This Row],[Fin corrigée si nuit]]-(1+deb_dimJF)),0))*24-
(IF(COUNTIF(JF,Horaires3567[[#This Row],[Date]]),MAX(0,MIN(fin_dimJF,Horaires3567[[#This Row],[PNP Fin corrigée]])-MAX(deb_dimJF,Horaires3567[[#This Row],[PNP Début corrigé]])),0)+IF(COUNTIF(JF,Horaires3567[[#This Row],[Date]]+1),MAX(0,Horaires3567[[#This Row],[PNP Fin corrigée]]-(1+deb_dimJF)),0))*24</calculatedColumnFormula>
    </tableColumn>
  </tableColumns>
  <tableStyleInfo name="TableStyleLight9" showFirstColumn="0" showLastColumn="0" showRowStripes="1" showColumnStripes="0"/>
</table>
</file>

<file path=xl/tables/table4.xml><?xml version="1.0" encoding="utf-8"?>
<table xmlns="http://schemas.openxmlformats.org/spreadsheetml/2006/main" id="2" name="Horaires35673" displayName="Horaires35673" ref="A12:S49" totalsRowShown="0" headerRowDxfId="239" dataDxfId="237" headerRowBorderDxfId="238" tableBorderDxfId="236" totalsRowBorderDxfId="235">
  <autoFilter ref="A12:S49"/>
  <tableColumns count="19">
    <tableColumn id="1" name="Date" dataDxfId="234"/>
    <tableColumn id="2" name="Service" dataDxfId="233"/>
    <tableColumn id="3" name="début" dataDxfId="232"/>
    <tableColumn id="4" name="Fin" dataDxfId="231"/>
    <tableColumn id="5" name="PP Début" dataDxfId="230"/>
    <tableColumn id="6" name="PP Fin" dataDxfId="229"/>
    <tableColumn id="7" name="PNP Début" dataDxfId="228"/>
    <tableColumn id="8" name="PNP Fin" dataDxfId="227"/>
    <tableColumn id="10" name="Majoration" dataDxfId="226" dataCellStyle="Milliers">
      <calculatedColumnFormula>0.1*(Horaires35673[[#This Row],[Heures de nuit]]+Horaires35673[[#This Row],[heures jour dimanche]]+Horaires35673[[#This Row],[heures jour fériés]])</calculatedColumnFormula>
    </tableColumn>
    <tableColumn id="9" name="Heures totales payées" dataDxfId="225" dataCellStyle="Milliers">
      <calculatedColumnFormula>(MOD(Horaires35673[[#This Row],[Fin]]-Horaires35673[[#This Row],[début]],1)-MOD(Horaires35673[[#This Row],[PNP Fin]]-Horaires35673[[#This Row],[PNP Début]],1))*24</calculatedColumnFormula>
    </tableColumn>
    <tableColumn id="15" name="PNP Début corrigé" dataDxfId="224">
      <calculatedColumnFormula>IF(Horaires35673[[#This Row],[PNP Début]]=0,0,IF(Horaires35673[[#This Row],[PNP Début]]&lt;Horaires35673[[#This Row],[début]],1,0)+Horaires35673[[#This Row],[PNP Début]])</calculatedColumnFormula>
    </tableColumn>
    <tableColumn id="16" name="PNP Fin corrigée" dataDxfId="223">
      <calculatedColumnFormula>IF(Horaires35673[[#This Row],[PNP Fin]]=0,0,IF(Horaires35673[[#This Row],[PNP Fin]]&lt;Horaires35673[[#This Row],[début]],1,0)+Horaires35673[[#This Row],[PNP Fin]])</calculatedColumnFormula>
    </tableColumn>
    <tableColumn id="14" name="Fin corrigée si nuit" dataDxfId="222">
      <calculatedColumnFormula>IF(Horaires35673[[#This Row],[Fin]]&lt;Horaires35673[[#This Row],[début]],1,0)+Horaires35673[[#This Row],[Fin]]</calculatedColumnFormula>
    </tableColumn>
    <tableColumn id="13" name="Heures de nuit" dataDxfId="221" dataCellStyle="Milliers">
      <calculatedColumnFormula>IF(Horaires35673[[#This Row],[Fin]]&lt;Horaires35673[[#This Row],[début]],MAX(0,MIN(Horaires35673[[#This Row],[Fin corrigée si nuit]],fin_nuit)-MAX(Horaires35673[[#This Row],[début]],deb_nuit))*24,(MAX(deb_nuit,Horaires35673[[#This Row],[Fin]])-MAX(deb_nuit,Horaires35673[[#This Row],[début]])+MAX(MIN(fin_nuit-1,Horaires35673[[#This Row],[Fin]])-MIN(fin_nuit-1,Horaires35673[[#This Row],[début]]),0))*24)</calculatedColumnFormula>
    </tableColumn>
    <tableColumn id="17" name="Heures de nuit hors PNP" dataDxfId="220" dataCellStyle="Milliers">
      <calculatedColumnFormula>(MAX(0,MIN(Horaires35673[[#This Row],[Fin corrigée si nuit]],fin_nuit)-MAX(Horaires35673[[#This Row],[début]],deb_nuit))-IF(Horaires35673[[#This Row],[PNP Début]]=0,0,MIN(Horaires35673[[#This Row],[PNP Fin corrigée]],fin_nuit)-MAX(Horaires35673[[#This Row],[PNP Début corrigé]],deb_nuit)))*24</calculatedColumnFormula>
    </tableColumn>
    <tableColumn id="18" name="heures jour dimanche" dataDxfId="219" dataCellStyle="Milliers">
      <calculatedColumnFormula>(IF(WEEKDAY(Horaires35673[[#This Row],[Date]],2)=7,MAX(0,MIN(fin_dimJF,Horaires35673[[#This Row],[Fin corrigée si nuit]])-MAX(deb_dimJF,Horaires35673[[#This Row],[début]])),0)+IF(WEEKDAY(Horaires35673[[#This Row],[Date]],2)=6,MAX(0,Horaires35673[[#This Row],[Fin corrigée si nuit]]-(1+deb_dimJF)),0))*24</calculatedColumnFormula>
    </tableColumn>
    <tableColumn id="11" name="heures jour dimanche hors PNP" dataDxfId="218" dataCellStyle="Milliers">
      <calculatedColumnFormula>(IF(WEEKDAY(Horaires35673[[#This Row],[Date]],2)=7,MAX(0,MIN(fin_dimJF,Horaires35673[[#This Row],[Fin corrigée si nuit]])-MAX(deb_dimJF,Horaires35673[[#This Row],[début]])),0)+IF(WEEKDAY(Horaires35673[[#This Row],[Date]],2)=6,MAX(0,Horaires35673[[#This Row],[Fin corrigée si nuit]]-(1+deb_dimJF)),0))*24-
(IF(WEEKDAY(Horaires35673[[#This Row],[Date]],2)=7,MAX(0,MIN(fin_dimJF,Horaires35673[[#This Row],[PNP Fin corrigée]])-MAX(deb_dimJF,Horaires35673[[#This Row],[PNP Début corrigé]])),0)+IF(WEEKDAY(Horaires35673[[#This Row],[Date]],2)=6,MAX(0,Horaires35673[[#This Row],[PNP Fin corrigée]]-(1+deb_dimJF)),0))*24</calculatedColumnFormula>
    </tableColumn>
    <tableColumn id="19" name="heures jour fériés" dataDxfId="217" dataCellStyle="Milliers">
      <calculatedColumnFormula>(IF(COUNTIF(JF,Horaires35673[[#This Row],[Date]]),MAX(0,MIN(fin_dimJF,Horaires35673[[#This Row],[Fin corrigée si nuit]])-MAX(deb_dimJF,Horaires35673[[#This Row],[début]])),0)+IF(COUNTIF(JF,Horaires35673[[#This Row],[Date]]+1),MAX(0,Horaires35673[[#This Row],[Fin corrigée si nuit]]-(1+deb_dimJF)),0))*24</calculatedColumnFormula>
    </tableColumn>
    <tableColumn id="12" name="heures jour fériés hors PNP" dataDxfId="216" dataCellStyle="Milliers">
      <calculatedColumnFormula>(IF(COUNTIF(JF,Horaires35673[[#This Row],[Date]]),MAX(0,MIN(fin_dimJF,Horaires35673[[#This Row],[Fin corrigée si nuit]])-MAX(deb_dimJF,Horaires35673[[#This Row],[début]])),0)+IF(COUNTIF(JF,Horaires35673[[#This Row],[Date]]+1),MAX(0,Horaires35673[[#This Row],[Fin corrigée si nuit]]-(1+deb_dimJF)),0))*24-
(IF(COUNTIF(JF,Horaires35673[[#This Row],[Date]]),MAX(0,MIN(fin_dimJF,Horaires35673[[#This Row],[PNP Fin corrigée]])-MAX(deb_dimJF,Horaires35673[[#This Row],[PNP Début corrigé]])),0)+IF(COUNTIF(JF,Horaires35673[[#This Row],[Date]]+1),MAX(0,Horaires35673[[#This Row],[PNP Fin corrigée]]-(1+deb_dimJF)),0))*24</calculatedColumnFormula>
    </tableColumn>
  </tableColumns>
  <tableStyleInfo name="TableStyleLight9" showFirstColumn="0" showLastColumn="0" showRowStripes="1" showColumnStripes="0"/>
</table>
</file>

<file path=xl/tables/table5.xml><?xml version="1.0" encoding="utf-8"?>
<table xmlns="http://schemas.openxmlformats.org/spreadsheetml/2006/main" id="3" name="Horaires356734" displayName="Horaires356734" ref="A12:S49" totalsRowShown="0" headerRowDxfId="215" dataDxfId="213" headerRowBorderDxfId="214" tableBorderDxfId="212" totalsRowBorderDxfId="211">
  <autoFilter ref="A12:S49"/>
  <tableColumns count="19">
    <tableColumn id="1" name="Date" dataDxfId="210"/>
    <tableColumn id="2" name="Service" dataDxfId="209"/>
    <tableColumn id="3" name="début" dataDxfId="208"/>
    <tableColumn id="4" name="Fin" dataDxfId="207"/>
    <tableColumn id="5" name="PP Début" dataDxfId="206"/>
    <tableColumn id="6" name="PP Fin" dataDxfId="205"/>
    <tableColumn id="7" name="PNP Début" dataDxfId="204"/>
    <tableColumn id="8" name="PNP Fin" dataDxfId="203"/>
    <tableColumn id="10" name="Majoration" dataDxfId="202" dataCellStyle="Milliers">
      <calculatedColumnFormula>0.1*(Horaires356734[[#This Row],[Heures de nuit]]+Horaires356734[[#This Row],[heures jour dimanche]]+Horaires356734[[#This Row],[heures jour fériés]])</calculatedColumnFormula>
    </tableColumn>
    <tableColumn id="9" name="Heures totales payées" dataDxfId="201" dataCellStyle="Milliers">
      <calculatedColumnFormula>(MOD(Horaires356734[[#This Row],[Fin]]-Horaires356734[[#This Row],[début]],1)-MOD(Horaires356734[[#This Row],[PNP Fin]]-Horaires356734[[#This Row],[PNP Début]],1))*24</calculatedColumnFormula>
    </tableColumn>
    <tableColumn id="15" name="PNP Début corrigé" dataDxfId="200">
      <calculatedColumnFormula>IF(Horaires356734[[#This Row],[PNP Début]]=0,0,IF(Horaires356734[[#This Row],[PNP Début]]&lt;Horaires356734[[#This Row],[début]],1,0)+Horaires356734[[#This Row],[PNP Début]])</calculatedColumnFormula>
    </tableColumn>
    <tableColumn id="16" name="PNP Fin corrigée" dataDxfId="199">
      <calculatedColumnFormula>IF(Horaires356734[[#This Row],[PNP Fin]]=0,0,IF(Horaires356734[[#This Row],[PNP Fin]]&lt;Horaires356734[[#This Row],[début]],1,0)+Horaires356734[[#This Row],[PNP Fin]])</calculatedColumnFormula>
    </tableColumn>
    <tableColumn id="14" name="Fin corrigée si nuit" dataDxfId="198">
      <calculatedColumnFormula>IF(Horaires356734[[#This Row],[Fin]]&lt;Horaires356734[[#This Row],[début]],1,0)+Horaires356734[[#This Row],[Fin]]</calculatedColumnFormula>
    </tableColumn>
    <tableColumn id="13" name="Heures de nuit" dataDxfId="197" dataCellStyle="Milliers">
      <calculatedColumnFormula>IF(Horaires356734[[#This Row],[Fin]]&lt;Horaires356734[[#This Row],[début]],MAX(0,MIN(Horaires356734[[#This Row],[Fin corrigée si nuit]],fin_nuit)-MAX(Horaires356734[[#This Row],[début]],deb_nuit))*24,(MAX(deb_nuit,Horaires356734[[#This Row],[Fin]])-MAX(deb_nuit,Horaires356734[[#This Row],[début]])+MAX(MIN(fin_nuit-1,Horaires356734[[#This Row],[Fin]])-MIN(fin_nuit-1,Horaires356734[[#This Row],[début]]),0))*24)</calculatedColumnFormula>
    </tableColumn>
    <tableColumn id="17" name="Heures de nuit hors PNP" dataDxfId="196" dataCellStyle="Milliers">
      <calculatedColumnFormula>(MAX(0,MIN(Horaires356734[[#This Row],[Fin corrigée si nuit]],fin_nuit)-MAX(Horaires356734[[#This Row],[début]],deb_nuit))-IF(Horaires356734[[#This Row],[PNP Début]]=0,0,MIN(Horaires356734[[#This Row],[PNP Fin corrigée]],fin_nuit)-MAX(Horaires356734[[#This Row],[PNP Début corrigé]],deb_nuit)))*24</calculatedColumnFormula>
    </tableColumn>
    <tableColumn id="18" name="heures jour dimanche" dataDxfId="195" dataCellStyle="Milliers">
      <calculatedColumnFormula>(IF(WEEKDAY(Horaires356734[[#This Row],[Date]],2)=7,MAX(0,MIN(fin_dimJF,Horaires356734[[#This Row],[Fin corrigée si nuit]])-MAX(deb_dimJF,Horaires356734[[#This Row],[début]])),0)+IF(WEEKDAY(Horaires356734[[#This Row],[Date]],2)=6,MAX(0,Horaires356734[[#This Row],[Fin corrigée si nuit]]-(1+deb_dimJF)),0))*24</calculatedColumnFormula>
    </tableColumn>
    <tableColumn id="11" name="heures jour dimanche hors PNP" dataDxfId="194" dataCellStyle="Milliers">
      <calculatedColumnFormula>(IF(WEEKDAY(Horaires356734[[#This Row],[Date]],2)=7,MAX(0,MIN(fin_dimJF,Horaires356734[[#This Row],[Fin corrigée si nuit]])-MAX(deb_dimJF,Horaires356734[[#This Row],[début]])),0)+IF(WEEKDAY(Horaires356734[[#This Row],[Date]],2)=6,MAX(0,Horaires356734[[#This Row],[Fin corrigée si nuit]]-(1+deb_dimJF)),0))*24-
(IF(WEEKDAY(Horaires356734[[#This Row],[Date]],2)=7,MAX(0,MIN(fin_dimJF,Horaires356734[[#This Row],[PNP Fin corrigée]])-MAX(deb_dimJF,Horaires356734[[#This Row],[PNP Début corrigé]])),0)+IF(WEEKDAY(Horaires356734[[#This Row],[Date]],2)=6,MAX(0,Horaires356734[[#This Row],[PNP Fin corrigée]]-(1+deb_dimJF)),0))*24</calculatedColumnFormula>
    </tableColumn>
    <tableColumn id="19" name="heures jour fériés" dataDxfId="193" dataCellStyle="Milliers">
      <calculatedColumnFormula>(IF(COUNTIF(JF,Horaires356734[[#This Row],[Date]]),MAX(0,MIN(fin_dimJF,Horaires356734[[#This Row],[Fin corrigée si nuit]])-MAX(deb_dimJF,Horaires356734[[#This Row],[début]])),0)+IF(COUNTIF(JF,Horaires356734[[#This Row],[Date]]+1),MAX(0,Horaires356734[[#This Row],[Fin corrigée si nuit]]-(1+deb_dimJF)),0))*24</calculatedColumnFormula>
    </tableColumn>
    <tableColumn id="12" name="heures jour fériés hors PNP" dataDxfId="192" dataCellStyle="Milliers">
      <calculatedColumnFormula>(IF(COUNTIF(JF,Horaires356734[[#This Row],[Date]]),MAX(0,MIN(fin_dimJF,Horaires356734[[#This Row],[Fin corrigée si nuit]])-MAX(deb_dimJF,Horaires356734[[#This Row],[début]])),0)+IF(COUNTIF(JF,Horaires356734[[#This Row],[Date]]+1),MAX(0,Horaires356734[[#This Row],[Fin corrigée si nuit]]-(1+deb_dimJF)),0))*24-
(IF(COUNTIF(JF,Horaires356734[[#This Row],[Date]]),MAX(0,MIN(fin_dimJF,Horaires356734[[#This Row],[PNP Fin corrigée]])-MAX(deb_dimJF,Horaires356734[[#This Row],[PNP Début corrigé]])),0)+IF(COUNTIF(JF,Horaires356734[[#This Row],[Date]]+1),MAX(0,Horaires356734[[#This Row],[PNP Fin corrigée]]-(1+deb_dimJF)),0))*24</calculatedColumnFormula>
    </tableColumn>
  </tableColumns>
  <tableStyleInfo name="TableStyleLight9" showFirstColumn="0" showLastColumn="0" showRowStripes="1" showColumnStripes="0"/>
</table>
</file>

<file path=xl/tables/table6.xml><?xml version="1.0" encoding="utf-8"?>
<table xmlns="http://schemas.openxmlformats.org/spreadsheetml/2006/main" id="4" name="Horaires3567345" displayName="Horaires3567345" ref="A12:S49" totalsRowShown="0" headerRowDxfId="191" dataDxfId="189" headerRowBorderDxfId="190" tableBorderDxfId="188" totalsRowBorderDxfId="187">
  <autoFilter ref="A12:S49"/>
  <tableColumns count="19">
    <tableColumn id="1" name="Date" dataDxfId="186"/>
    <tableColumn id="2" name="Service" dataDxfId="185"/>
    <tableColumn id="3" name="début" dataDxfId="184"/>
    <tableColumn id="4" name="Fin" dataDxfId="183"/>
    <tableColumn id="5" name="PP Début" dataDxfId="182"/>
    <tableColumn id="6" name="PP Fin" dataDxfId="181"/>
    <tableColumn id="7" name="PNP Début" dataDxfId="180"/>
    <tableColumn id="8" name="PNP Fin" dataDxfId="179"/>
    <tableColumn id="10" name="Majoration" dataDxfId="178" dataCellStyle="Milliers">
      <calculatedColumnFormula>0.1*(Horaires3567345[[#This Row],[Heures de nuit]]+Horaires3567345[[#This Row],[heures jour dimanche]]+Horaires3567345[[#This Row],[heures jour fériés]])</calculatedColumnFormula>
    </tableColumn>
    <tableColumn id="9" name="Heures totales payées" dataDxfId="177" dataCellStyle="Milliers">
      <calculatedColumnFormula>(MOD(Horaires3567345[[#This Row],[Fin]]-Horaires3567345[[#This Row],[début]],1)-MOD(Horaires3567345[[#This Row],[PNP Fin]]-Horaires3567345[[#This Row],[PNP Début]],1))*24</calculatedColumnFormula>
    </tableColumn>
    <tableColumn id="15" name="PNP Début corrigé" dataDxfId="176">
      <calculatedColumnFormula>IF(Horaires3567345[[#This Row],[PNP Début]]=0,0,IF(Horaires3567345[[#This Row],[PNP Début]]&lt;Horaires3567345[[#This Row],[début]],1,0)+Horaires3567345[[#This Row],[PNP Début]])</calculatedColumnFormula>
    </tableColumn>
    <tableColumn id="16" name="PNP Fin corrigée" dataDxfId="175">
      <calculatedColumnFormula>IF(Horaires3567345[[#This Row],[PNP Fin]]=0,0,IF(Horaires3567345[[#This Row],[PNP Fin]]&lt;Horaires3567345[[#This Row],[début]],1,0)+Horaires3567345[[#This Row],[PNP Fin]])</calculatedColumnFormula>
    </tableColumn>
    <tableColumn id="14" name="Fin corrigée si nuit" dataDxfId="174">
      <calculatedColumnFormula>IF(Horaires3567345[[#This Row],[Fin]]&lt;Horaires3567345[[#This Row],[début]],1,0)+Horaires3567345[[#This Row],[Fin]]</calculatedColumnFormula>
    </tableColumn>
    <tableColumn id="13" name="Heures de nuit" dataDxfId="173" dataCellStyle="Milliers">
      <calculatedColumnFormula>IF(Horaires3567345[[#This Row],[Fin]]&lt;Horaires3567345[[#This Row],[début]],MAX(0,MIN(Horaires3567345[[#This Row],[Fin corrigée si nuit]],fin_nuit)-MAX(Horaires3567345[[#This Row],[début]],deb_nuit))*24,(MAX(deb_nuit,Horaires3567345[[#This Row],[Fin]])-MAX(deb_nuit,Horaires3567345[[#This Row],[début]])+MAX(MIN(fin_nuit-1,Horaires3567345[[#This Row],[Fin]])-MIN(fin_nuit-1,Horaires3567345[[#This Row],[début]]),0))*24)</calculatedColumnFormula>
    </tableColumn>
    <tableColumn id="17" name="Heures de nuit hors PNP" dataDxfId="172" dataCellStyle="Milliers">
      <calculatedColumnFormula>(MAX(0,MIN(Horaires3567345[[#This Row],[Fin corrigée si nuit]],fin_nuit)-MAX(Horaires3567345[[#This Row],[début]],deb_nuit))-IF(Horaires3567345[[#This Row],[PNP Début]]=0,0,MIN(Horaires3567345[[#This Row],[PNP Fin corrigée]],fin_nuit)-MAX(Horaires3567345[[#This Row],[PNP Début corrigé]],deb_nuit)))*24</calculatedColumnFormula>
    </tableColumn>
    <tableColumn id="18" name="heures jour dimanche" dataDxfId="171" dataCellStyle="Milliers">
      <calculatedColumnFormula>(IF(WEEKDAY(Horaires3567345[[#This Row],[Date]],2)=7,MAX(0,MIN(fin_dimJF,Horaires3567345[[#This Row],[Fin corrigée si nuit]])-MAX(deb_dimJF,Horaires3567345[[#This Row],[début]])),0)+IF(WEEKDAY(Horaires3567345[[#This Row],[Date]],2)=6,MAX(0,Horaires3567345[[#This Row],[Fin corrigée si nuit]]-(1+deb_dimJF)),0))*24</calculatedColumnFormula>
    </tableColumn>
    <tableColumn id="11" name="heures jour dimanche hors PNP" dataDxfId="170" dataCellStyle="Milliers">
      <calculatedColumnFormula>(IF(WEEKDAY(Horaires3567345[[#This Row],[Date]],2)=7,MAX(0,MIN(fin_dimJF,Horaires3567345[[#This Row],[Fin corrigée si nuit]])-MAX(deb_dimJF,Horaires3567345[[#This Row],[début]])),0)+IF(WEEKDAY(Horaires3567345[[#This Row],[Date]],2)=6,MAX(0,Horaires3567345[[#This Row],[Fin corrigée si nuit]]-(1+deb_dimJF)),0))*24-
(IF(WEEKDAY(Horaires3567345[[#This Row],[Date]],2)=7,MAX(0,MIN(fin_dimJF,Horaires3567345[[#This Row],[PNP Fin corrigée]])-MAX(deb_dimJF,Horaires3567345[[#This Row],[PNP Début corrigé]])),0)+IF(WEEKDAY(Horaires3567345[[#This Row],[Date]],2)=6,MAX(0,Horaires3567345[[#This Row],[PNP Fin corrigée]]-(1+deb_dimJF)),0))*24</calculatedColumnFormula>
    </tableColumn>
    <tableColumn id="19" name="heures jour fériés" dataDxfId="169" dataCellStyle="Milliers">
      <calculatedColumnFormula>(IF(COUNTIF(JF,Horaires3567345[[#This Row],[Date]]),MAX(0,MIN(fin_dimJF,Horaires3567345[[#This Row],[Fin corrigée si nuit]])-MAX(deb_dimJF,Horaires3567345[[#This Row],[début]])),0)+IF(COUNTIF(JF,Horaires3567345[[#This Row],[Date]]+1),MAX(0,Horaires3567345[[#This Row],[Fin corrigée si nuit]]-(1+deb_dimJF)),0))*24</calculatedColumnFormula>
    </tableColumn>
    <tableColumn id="12" name="heures jour fériés hors PNP" dataDxfId="168" dataCellStyle="Milliers">
      <calculatedColumnFormula>(IF(COUNTIF(JF,Horaires3567345[[#This Row],[Date]]),MAX(0,MIN(fin_dimJF,Horaires3567345[[#This Row],[Fin corrigée si nuit]])-MAX(deb_dimJF,Horaires3567345[[#This Row],[début]])),0)+IF(COUNTIF(JF,Horaires3567345[[#This Row],[Date]]+1),MAX(0,Horaires3567345[[#This Row],[Fin corrigée si nuit]]-(1+deb_dimJF)),0))*24-
(IF(COUNTIF(JF,Horaires3567345[[#This Row],[Date]]),MAX(0,MIN(fin_dimJF,Horaires3567345[[#This Row],[PNP Fin corrigée]])-MAX(deb_dimJF,Horaires3567345[[#This Row],[PNP Début corrigé]])),0)+IF(COUNTIF(JF,Horaires3567345[[#This Row],[Date]]+1),MAX(0,Horaires3567345[[#This Row],[PNP Fin corrigée]]-(1+deb_dimJF)),0))*24</calculatedColumnFormula>
    </tableColumn>
  </tableColumns>
  <tableStyleInfo name="TableStyleLight9" showFirstColumn="0" showLastColumn="0" showRowStripes="1" showColumnStripes="0"/>
</table>
</file>

<file path=xl/tables/table7.xml><?xml version="1.0" encoding="utf-8"?>
<table xmlns="http://schemas.openxmlformats.org/spreadsheetml/2006/main" id="8" name="Horaires356739" displayName="Horaires356739" ref="A12:S49" totalsRowShown="0" headerRowDxfId="167" dataDxfId="165" headerRowBorderDxfId="166" tableBorderDxfId="164" totalsRowBorderDxfId="163">
  <autoFilter ref="A12:S49"/>
  <tableColumns count="19">
    <tableColumn id="1" name="Date" dataDxfId="162"/>
    <tableColumn id="2" name="Service" dataDxfId="161"/>
    <tableColumn id="3" name="début" dataDxfId="160"/>
    <tableColumn id="4" name="Fin" dataDxfId="159"/>
    <tableColumn id="5" name="PP Début" dataDxfId="158"/>
    <tableColumn id="6" name="PP Fin" dataDxfId="157"/>
    <tableColumn id="7" name="PNP Début" dataDxfId="156"/>
    <tableColumn id="8" name="PNP Fin" dataDxfId="155"/>
    <tableColumn id="10" name="Majoration" dataDxfId="154" dataCellStyle="Milliers">
      <calculatedColumnFormula>0.1*(Horaires356739[[#This Row],[Heures de nuit]]+Horaires356739[[#This Row],[heures jour dimanche]]+Horaires356739[[#This Row],[heures jour fériés]])</calculatedColumnFormula>
    </tableColumn>
    <tableColumn id="9" name="Heures totales payées" dataDxfId="153" dataCellStyle="Milliers">
      <calculatedColumnFormula>(MOD(Horaires356739[[#This Row],[Fin]]-Horaires356739[[#This Row],[début]],1)-MOD(Horaires356739[[#This Row],[PNP Fin]]-Horaires356739[[#This Row],[PNP Début]],1))*24</calculatedColumnFormula>
    </tableColumn>
    <tableColumn id="15" name="PNP Début corrigé" dataDxfId="152">
      <calculatedColumnFormula>IF(Horaires356739[[#This Row],[PNP Début]]=0,0,IF(Horaires356739[[#This Row],[PNP Début]]&lt;Horaires356739[[#This Row],[début]],1,0)+Horaires356739[[#This Row],[PNP Début]])</calculatedColumnFormula>
    </tableColumn>
    <tableColumn id="16" name="PNP Fin corrigée" dataDxfId="151">
      <calculatedColumnFormula>IF(Horaires356739[[#This Row],[PNP Fin]]=0,0,IF(Horaires356739[[#This Row],[PNP Fin]]&lt;Horaires356739[[#This Row],[début]],1,0)+Horaires356739[[#This Row],[PNP Fin]])</calculatedColumnFormula>
    </tableColumn>
    <tableColumn id="14" name="Fin corrigée si nuit" dataDxfId="150">
      <calculatedColumnFormula>IF(Horaires356739[[#This Row],[Fin]]&lt;Horaires356739[[#This Row],[début]],1,0)+Horaires356739[[#This Row],[Fin]]</calculatedColumnFormula>
    </tableColumn>
    <tableColumn id="13" name="Heures de nuit" dataDxfId="149" dataCellStyle="Milliers">
      <calculatedColumnFormula>IF(Horaires356739[[#This Row],[Fin]]&lt;Horaires356739[[#This Row],[début]],MAX(0,MIN(Horaires356739[[#This Row],[Fin corrigée si nuit]],fin_nuit)-MAX(Horaires356739[[#This Row],[début]],deb_nuit))*24,(MAX(deb_nuit,Horaires356739[[#This Row],[Fin]])-MAX(deb_nuit,Horaires356739[[#This Row],[début]])+MAX(MIN(fin_nuit-1,Horaires356739[[#This Row],[Fin]])-MIN(fin_nuit-1,Horaires356739[[#This Row],[début]]),0))*24)</calculatedColumnFormula>
    </tableColumn>
    <tableColumn id="17" name="Heures de nuit hors PNP" dataDxfId="148" dataCellStyle="Milliers">
      <calculatedColumnFormula>(MAX(0,MIN(Horaires356739[[#This Row],[Fin corrigée si nuit]],fin_nuit)-MAX(Horaires356739[[#This Row],[début]],deb_nuit))-IF(Horaires356739[[#This Row],[PNP Début]]=0,0,MIN(Horaires356739[[#This Row],[PNP Fin corrigée]],fin_nuit)-MAX(Horaires356739[[#This Row],[PNP Début corrigé]],deb_nuit)))*24</calculatedColumnFormula>
    </tableColumn>
    <tableColumn id="18" name="heures jour dimanche" dataDxfId="147" dataCellStyle="Milliers">
      <calculatedColumnFormula>(IF(WEEKDAY(Horaires356739[[#This Row],[Date]],2)=7,MAX(0,MIN(fin_dimJF,Horaires356739[[#This Row],[Fin corrigée si nuit]])-MAX(deb_dimJF,Horaires356739[[#This Row],[début]])),0)+IF(WEEKDAY(Horaires356739[[#This Row],[Date]],2)=6,MAX(0,Horaires356739[[#This Row],[Fin corrigée si nuit]]-(1+deb_dimJF)),0))*24</calculatedColumnFormula>
    </tableColumn>
    <tableColumn id="11" name="heures jour dimanche hors PNP" dataDxfId="146" dataCellStyle="Milliers">
      <calculatedColumnFormula>(IF(WEEKDAY(Horaires356739[[#This Row],[Date]],2)=7,MAX(0,MIN(fin_dimJF,Horaires356739[[#This Row],[Fin corrigée si nuit]])-MAX(deb_dimJF,Horaires356739[[#This Row],[début]])),0)+IF(WEEKDAY(Horaires356739[[#This Row],[Date]],2)=6,MAX(0,Horaires356739[[#This Row],[Fin corrigée si nuit]]-(1+deb_dimJF)),0))*24-
(IF(WEEKDAY(Horaires356739[[#This Row],[Date]],2)=7,MAX(0,MIN(fin_dimJF,Horaires356739[[#This Row],[PNP Fin corrigée]])-MAX(deb_dimJF,Horaires356739[[#This Row],[PNP Début corrigé]])),0)+IF(WEEKDAY(Horaires356739[[#This Row],[Date]],2)=6,MAX(0,Horaires356739[[#This Row],[PNP Fin corrigée]]-(1+deb_dimJF)),0))*24</calculatedColumnFormula>
    </tableColumn>
    <tableColumn id="19" name="heures jour fériés" dataDxfId="145" dataCellStyle="Milliers">
      <calculatedColumnFormula>(IF(COUNTIF(JF,Horaires356739[[#This Row],[Date]]),MAX(0,MIN(fin_dimJF,Horaires356739[[#This Row],[Fin corrigée si nuit]])-MAX(deb_dimJF,Horaires356739[[#This Row],[début]])),0)+IF(COUNTIF(JF,Horaires356739[[#This Row],[Date]]+1),MAX(0,Horaires356739[[#This Row],[Fin corrigée si nuit]]-(1+deb_dimJF)),0))*24</calculatedColumnFormula>
    </tableColumn>
    <tableColumn id="12" name="heures jour fériés hors PNP" dataDxfId="144" dataCellStyle="Milliers">
      <calculatedColumnFormula>(IF(COUNTIF(JF,Horaires356739[[#This Row],[Date]]),MAX(0,MIN(fin_dimJF,Horaires356739[[#This Row],[Fin corrigée si nuit]])-MAX(deb_dimJF,Horaires356739[[#This Row],[début]])),0)+IF(COUNTIF(JF,Horaires356739[[#This Row],[Date]]+1),MAX(0,Horaires356739[[#This Row],[Fin corrigée si nuit]]-(1+deb_dimJF)),0))*24-
(IF(COUNTIF(JF,Horaires356739[[#This Row],[Date]]),MAX(0,MIN(fin_dimJF,Horaires356739[[#This Row],[PNP Fin corrigée]])-MAX(deb_dimJF,Horaires356739[[#This Row],[PNP Début corrigé]])),0)+IF(COUNTIF(JF,Horaires356739[[#This Row],[Date]]+1),MAX(0,Horaires356739[[#This Row],[PNP Fin corrigée]]-(1+deb_dimJF)),0))*24</calculatedColumnFormula>
    </tableColumn>
  </tableColumns>
  <tableStyleInfo name="TableStyleLight9" showFirstColumn="0" showLastColumn="0" showRowStripes="1" showColumnStripes="0"/>
</table>
</file>

<file path=xl/tables/table8.xml><?xml version="1.0" encoding="utf-8"?>
<table xmlns="http://schemas.openxmlformats.org/spreadsheetml/2006/main" id="9" name="Horaires3567310" displayName="Horaires3567310" ref="A12:S49" totalsRowShown="0" headerRowDxfId="143" dataDxfId="141" headerRowBorderDxfId="142" tableBorderDxfId="140" totalsRowBorderDxfId="139">
  <autoFilter ref="A12:S49"/>
  <tableColumns count="19">
    <tableColumn id="1" name="Date" dataDxfId="138"/>
    <tableColumn id="2" name="Service" dataDxfId="137"/>
    <tableColumn id="3" name="début" dataDxfId="136"/>
    <tableColumn id="4" name="Fin" dataDxfId="135"/>
    <tableColumn id="5" name="PP Début" dataDxfId="134"/>
    <tableColumn id="6" name="PP Fin" dataDxfId="133"/>
    <tableColumn id="7" name="PNP Début" dataDxfId="132"/>
    <tableColumn id="8" name="PNP Fin" dataDxfId="131"/>
    <tableColumn id="10" name="Majoration" dataDxfId="130" dataCellStyle="Milliers">
      <calculatedColumnFormula>0.1*(Horaires3567310[[#This Row],[Heures de nuit]]+Horaires3567310[[#This Row],[heures jour dimanche]]+Horaires3567310[[#This Row],[heures jour fériés]])</calculatedColumnFormula>
    </tableColumn>
    <tableColumn id="9" name="Heures totales payées" dataDxfId="129" dataCellStyle="Milliers">
      <calculatedColumnFormula>(MOD(Horaires3567310[[#This Row],[Fin]]-Horaires3567310[[#This Row],[début]],1)-MOD(Horaires3567310[[#This Row],[PNP Fin]]-Horaires3567310[[#This Row],[PNP Début]],1))*24</calculatedColumnFormula>
    </tableColumn>
    <tableColumn id="15" name="PNP Début corrigé" dataDxfId="128">
      <calculatedColumnFormula>IF(Horaires3567310[[#This Row],[PNP Début]]=0,0,IF(Horaires3567310[[#This Row],[PNP Début]]&lt;Horaires3567310[[#This Row],[début]],1,0)+Horaires3567310[[#This Row],[PNP Début]])</calculatedColumnFormula>
    </tableColumn>
    <tableColumn id="16" name="PNP Fin corrigée" dataDxfId="127">
      <calculatedColumnFormula>IF(Horaires3567310[[#This Row],[PNP Fin]]=0,0,IF(Horaires3567310[[#This Row],[PNP Fin]]&lt;Horaires3567310[[#This Row],[début]],1,0)+Horaires3567310[[#This Row],[PNP Fin]])</calculatedColumnFormula>
    </tableColumn>
    <tableColumn id="14" name="Fin corrigée si nuit" dataDxfId="126">
      <calculatedColumnFormula>IF(Horaires3567310[[#This Row],[Fin]]&lt;Horaires3567310[[#This Row],[début]],1,0)+Horaires3567310[[#This Row],[Fin]]</calculatedColumnFormula>
    </tableColumn>
    <tableColumn id="13" name="Heures de nuit" dataDxfId="125" dataCellStyle="Milliers">
      <calculatedColumnFormula>IF(Horaires3567310[[#This Row],[Fin]]&lt;Horaires3567310[[#This Row],[début]],MAX(0,MIN(Horaires3567310[[#This Row],[Fin corrigée si nuit]],fin_nuit)-MAX(Horaires3567310[[#This Row],[début]],deb_nuit))*24,(MAX(deb_nuit,Horaires3567310[[#This Row],[Fin]])-MAX(deb_nuit,Horaires3567310[[#This Row],[début]])+MAX(MIN(fin_nuit-1,Horaires3567310[[#This Row],[Fin]])-MIN(fin_nuit-1,Horaires3567310[[#This Row],[début]]),0))*24)</calculatedColumnFormula>
    </tableColumn>
    <tableColumn id="17" name="Heures de nuit hors PNP" dataDxfId="124" dataCellStyle="Milliers">
      <calculatedColumnFormula>(MAX(0,MIN(Horaires3567310[[#This Row],[Fin corrigée si nuit]],fin_nuit)-MAX(Horaires3567310[[#This Row],[début]],deb_nuit))-IF(Horaires3567310[[#This Row],[PNP Début]]=0,0,MIN(Horaires3567310[[#This Row],[PNP Fin corrigée]],fin_nuit)-MAX(Horaires3567310[[#This Row],[PNP Début corrigé]],deb_nuit)))*24</calculatedColumnFormula>
    </tableColumn>
    <tableColumn id="18" name="heures jour dimanche" dataDxfId="123" dataCellStyle="Milliers">
      <calculatedColumnFormula>(IF(WEEKDAY(Horaires3567310[[#This Row],[Date]],2)=7,MAX(0,MIN(fin_dimJF,Horaires3567310[[#This Row],[Fin corrigée si nuit]])-MAX(deb_dimJF,Horaires3567310[[#This Row],[début]])),0)+IF(WEEKDAY(Horaires3567310[[#This Row],[Date]],2)=6,MAX(0,Horaires3567310[[#This Row],[Fin corrigée si nuit]]-(1+deb_dimJF)),0))*24</calculatedColumnFormula>
    </tableColumn>
    <tableColumn id="11" name="heures jour dimanche hors PNP" dataDxfId="122" dataCellStyle="Milliers">
      <calculatedColumnFormula>(IF(WEEKDAY(Horaires3567310[[#This Row],[Date]],2)=7,MAX(0,MIN(fin_dimJF,Horaires3567310[[#This Row],[Fin corrigée si nuit]])-MAX(deb_dimJF,Horaires3567310[[#This Row],[début]])),0)+IF(WEEKDAY(Horaires3567310[[#This Row],[Date]],2)=6,MAX(0,Horaires3567310[[#This Row],[Fin corrigée si nuit]]-(1+deb_dimJF)),0))*24-
(IF(WEEKDAY(Horaires3567310[[#This Row],[Date]],2)=7,MAX(0,MIN(fin_dimJF,Horaires3567310[[#This Row],[PNP Fin corrigée]])-MAX(deb_dimJF,Horaires3567310[[#This Row],[PNP Début corrigé]])),0)+IF(WEEKDAY(Horaires3567310[[#This Row],[Date]],2)=6,MAX(0,Horaires3567310[[#This Row],[PNP Fin corrigée]]-(1+deb_dimJF)),0))*24</calculatedColumnFormula>
    </tableColumn>
    <tableColumn id="19" name="heures jour fériés" dataDxfId="121" dataCellStyle="Milliers">
      <calculatedColumnFormula>(IF(COUNTIF(JF,Horaires3567310[[#This Row],[Date]]),MAX(0,MIN(fin_dimJF,Horaires3567310[[#This Row],[Fin corrigée si nuit]])-MAX(deb_dimJF,Horaires3567310[[#This Row],[début]])),0)+IF(COUNTIF(JF,Horaires3567310[[#This Row],[Date]]+1),MAX(0,Horaires3567310[[#This Row],[Fin corrigée si nuit]]-(1+deb_dimJF)),0))*24</calculatedColumnFormula>
    </tableColumn>
    <tableColumn id="12" name="heures jour fériés hors PNP" dataDxfId="120" dataCellStyle="Milliers">
      <calculatedColumnFormula>(IF(COUNTIF(JF,Horaires3567310[[#This Row],[Date]]),MAX(0,MIN(fin_dimJF,Horaires3567310[[#This Row],[Fin corrigée si nuit]])-MAX(deb_dimJF,Horaires3567310[[#This Row],[début]])),0)+IF(COUNTIF(JF,Horaires3567310[[#This Row],[Date]]+1),MAX(0,Horaires3567310[[#This Row],[Fin corrigée si nuit]]-(1+deb_dimJF)),0))*24-
(IF(COUNTIF(JF,Horaires3567310[[#This Row],[Date]]),MAX(0,MIN(fin_dimJF,Horaires3567310[[#This Row],[PNP Fin corrigée]])-MAX(deb_dimJF,Horaires3567310[[#This Row],[PNP Début corrigé]])),0)+IF(COUNTIF(JF,Horaires3567310[[#This Row],[Date]]+1),MAX(0,Horaires3567310[[#This Row],[PNP Fin corrigée]]-(1+deb_dimJF)),0))*24</calculatedColumnFormula>
    </tableColumn>
  </tableColumns>
  <tableStyleInfo name="TableStyleLight9" showFirstColumn="0" showLastColumn="0" showRowStripes="1" showColumnStripes="0"/>
</table>
</file>

<file path=xl/tables/table9.xml><?xml version="1.0" encoding="utf-8"?>
<table xmlns="http://schemas.openxmlformats.org/spreadsheetml/2006/main" id="14" name="Horaires356715" displayName="Horaires356715" ref="A12:S49" totalsRowShown="0" headerRowDxfId="119" dataDxfId="117" headerRowBorderDxfId="118" tableBorderDxfId="116" totalsRowBorderDxfId="115">
  <autoFilter ref="A12:S49"/>
  <tableColumns count="19">
    <tableColumn id="1" name="Date" dataDxfId="114"/>
    <tableColumn id="2" name="Service" dataDxfId="113"/>
    <tableColumn id="3" name="début" dataDxfId="112"/>
    <tableColumn id="4" name="Fin" dataDxfId="111"/>
    <tableColumn id="5" name="PP Début" dataDxfId="110"/>
    <tableColumn id="6" name="PP Fin" dataDxfId="109"/>
    <tableColumn id="7" name="PNP Début" dataDxfId="108"/>
    <tableColumn id="8" name="PNP Fin" dataDxfId="107"/>
    <tableColumn id="10" name="Majoration" dataDxfId="106" dataCellStyle="Milliers">
      <calculatedColumnFormula>0.1*(Horaires356715[[#This Row],[Heures de nuit]]+Horaires356715[[#This Row],[heures jour dimanche]]+Horaires356715[[#This Row],[heures jour fériés]])</calculatedColumnFormula>
    </tableColumn>
    <tableColumn id="9" name="Heures totales payées" dataDxfId="105" dataCellStyle="Milliers">
      <calculatedColumnFormula>(MOD(Horaires356715[[#This Row],[Fin]]-Horaires356715[[#This Row],[début]],1)-MOD(Horaires356715[[#This Row],[PNP Fin]]-Horaires356715[[#This Row],[PNP Début]],1))*24</calculatedColumnFormula>
    </tableColumn>
    <tableColumn id="15" name="PNP Début corrigé" dataDxfId="104">
      <calculatedColumnFormula>IF(Horaires356715[[#This Row],[PNP Début]]=0,0,IF(Horaires356715[[#This Row],[PNP Début]]&lt;Horaires356715[[#This Row],[début]],1,0)+Horaires356715[[#This Row],[PNP Début]])</calculatedColumnFormula>
    </tableColumn>
    <tableColumn id="16" name="PNP Fin corrigée" dataDxfId="103">
      <calculatedColumnFormula>IF(Horaires356715[[#This Row],[PNP Fin]]=0,0,IF(Horaires356715[[#This Row],[PNP Fin]]&lt;Horaires356715[[#This Row],[début]],1,0)+Horaires356715[[#This Row],[PNP Fin]])</calculatedColumnFormula>
    </tableColumn>
    <tableColumn id="14" name="Fin corrigée si nuit" dataDxfId="102">
      <calculatedColumnFormula>IF(Horaires356715[[#This Row],[Fin]]&lt;Horaires356715[[#This Row],[début]],1,0)+Horaires356715[[#This Row],[Fin]]</calculatedColumnFormula>
    </tableColumn>
    <tableColumn id="13" name="Heures de nuit" dataDxfId="101" dataCellStyle="Milliers">
      <calculatedColumnFormula>IF(Horaires356715[[#This Row],[Fin]]&lt;Horaires356715[[#This Row],[début]],MAX(0,MIN(Horaires356715[[#This Row],[Fin corrigée si nuit]],fin_nuit)-MAX(Horaires356715[[#This Row],[début]],deb_nuit))*24,(MAX(deb_nuit,Horaires356715[[#This Row],[Fin]])-MAX(deb_nuit,Horaires356715[[#This Row],[début]])+MAX(MIN(fin_nuit-1,Horaires356715[[#This Row],[Fin]])-MIN(fin_nuit-1,Horaires356715[[#This Row],[début]]),0))*24)</calculatedColumnFormula>
    </tableColumn>
    <tableColumn id="17" name="Heures de nuit hors PNP" dataDxfId="100" dataCellStyle="Milliers">
      <calculatedColumnFormula>(MAX(0,MIN(Horaires356715[[#This Row],[Fin corrigée si nuit]],fin_nuit)-MAX(Horaires356715[[#This Row],[début]],deb_nuit))-IF(Horaires356715[[#This Row],[PNP Début]]=0,0,MIN(Horaires356715[[#This Row],[PNP Fin corrigée]],fin_nuit)-MAX(Horaires356715[[#This Row],[PNP Début corrigé]],deb_nuit)))*24</calculatedColumnFormula>
    </tableColumn>
    <tableColumn id="18" name="heures jour dimanche" dataDxfId="99" dataCellStyle="Milliers">
      <calculatedColumnFormula>(IF(WEEKDAY(Horaires356715[[#This Row],[Date]],2)=7,MAX(0,MIN(fin_dimJF,Horaires356715[[#This Row],[Fin corrigée si nuit]])-MAX(deb_dimJF,Horaires356715[[#This Row],[début]])),0)+IF(WEEKDAY(Horaires356715[[#This Row],[Date]],2)=6,MAX(0,Horaires356715[[#This Row],[Fin corrigée si nuit]]-(1+deb_dimJF)),0))*24</calculatedColumnFormula>
    </tableColumn>
    <tableColumn id="11" name="heures jour dimanche hors PNP" dataDxfId="98" dataCellStyle="Milliers">
      <calculatedColumnFormula>(IF(WEEKDAY(Horaires356715[[#This Row],[Date]],2)=7,MAX(0,MIN(fin_dimJF,Horaires356715[[#This Row],[Fin corrigée si nuit]])-MAX(deb_dimJF,Horaires356715[[#This Row],[début]])),0)+IF(WEEKDAY(Horaires356715[[#This Row],[Date]],2)=6,MAX(0,Horaires356715[[#This Row],[Fin corrigée si nuit]]-(1+deb_dimJF)),0))*24-
(IF(WEEKDAY(Horaires356715[[#This Row],[Date]],2)=7,MAX(0,MIN(fin_dimJF,Horaires356715[[#This Row],[PNP Fin corrigée]])-MAX(deb_dimJF,Horaires356715[[#This Row],[PNP Début corrigé]])),0)+IF(WEEKDAY(Horaires356715[[#This Row],[Date]],2)=6,MAX(0,Horaires356715[[#This Row],[PNP Fin corrigée]]-(1+deb_dimJF)),0))*24</calculatedColumnFormula>
    </tableColumn>
    <tableColumn id="19" name="heures jour fériés" dataDxfId="97" dataCellStyle="Milliers">
      <calculatedColumnFormula>(IF(COUNTIF(JF,Horaires356715[[#This Row],[Date]]),MAX(0,MIN(fin_dimJF,Horaires356715[[#This Row],[Fin corrigée si nuit]])-MAX(deb_dimJF,Horaires356715[[#This Row],[début]])),0)+IF(COUNTIF(JF,Horaires356715[[#This Row],[Date]]+1),MAX(0,Horaires356715[[#This Row],[Fin corrigée si nuit]]-(1+deb_dimJF)),0))*24</calculatedColumnFormula>
    </tableColumn>
    <tableColumn id="12" name="heures jour fériés hors PNP" dataDxfId="96" dataCellStyle="Milliers">
      <calculatedColumnFormula>(IF(COUNTIF(JF,Horaires356715[[#This Row],[Date]]),MAX(0,MIN(fin_dimJF,Horaires356715[[#This Row],[Fin corrigée si nuit]])-MAX(deb_dimJF,Horaires356715[[#This Row],[début]])),0)+IF(COUNTIF(JF,Horaires356715[[#This Row],[Date]]+1),MAX(0,Horaires356715[[#This Row],[Fin corrigée si nuit]]-(1+deb_dimJF)),0))*24-
(IF(COUNTIF(JF,Horaires356715[[#This Row],[Date]]),MAX(0,MIN(fin_dimJF,Horaires356715[[#This Row],[PNP Fin corrigée]])-MAX(deb_dimJF,Horaires356715[[#This Row],[PNP Début corrigé]])),0)+IF(COUNTIF(JF,Horaires356715[[#This Row],[Date]]+1),MAX(0,Horaires356715[[#This Row],[PNP Fin corrigée]]-(1+deb_dimJF)),0))*24</calculatedColumnFormula>
    </tableColumn>
  </tableColumns>
  <tableStyleInfo name="TableStyleLight9" showFirstColumn="0" showLastColumn="0" showRowStripes="1" showColumnStripes="0"/>
</table>
</file>

<file path=xl/tables/table10.xml><?xml version="1.0" encoding="utf-8"?>
<table xmlns="http://schemas.openxmlformats.org/spreadsheetml/2006/main" id="13" name="Horaires3567314" displayName="Horaires3567314" ref="A12:S49" totalsRowShown="0" headerRowDxfId="95" dataDxfId="93" headerRowBorderDxfId="94" tableBorderDxfId="92" totalsRowBorderDxfId="91">
  <autoFilter ref="A12:S49"/>
  <tableColumns count="19">
    <tableColumn id="1" name="Date" dataDxfId="90"/>
    <tableColumn id="2" name="Service" dataDxfId="89"/>
    <tableColumn id="3" name="début" dataDxfId="88"/>
    <tableColumn id="4" name="Fin" dataDxfId="87"/>
    <tableColumn id="5" name="PP Début" dataDxfId="86"/>
    <tableColumn id="6" name="PP Fin" dataDxfId="85"/>
    <tableColumn id="7" name="PNP Début" dataDxfId="84"/>
    <tableColumn id="8" name="PNP Fin" dataDxfId="83"/>
    <tableColumn id="10" name="Majoration" dataDxfId="82" dataCellStyle="Milliers">
      <calculatedColumnFormula>0.1*(Horaires3567314[[#This Row],[Heures de nuit]]+Horaires3567314[[#This Row],[heures jour dimanche]]+Horaires3567314[[#This Row],[heures jour fériés]])</calculatedColumnFormula>
    </tableColumn>
    <tableColumn id="9" name="Heures totales payées" dataDxfId="81" dataCellStyle="Milliers">
      <calculatedColumnFormula>(MOD(Horaires3567314[[#This Row],[Fin]]-Horaires3567314[[#This Row],[début]],1)-MOD(Horaires3567314[[#This Row],[PNP Fin]]-Horaires3567314[[#This Row],[PNP Début]],1))*24</calculatedColumnFormula>
    </tableColumn>
    <tableColumn id="15" name="PNP Début corrigé" dataDxfId="80">
      <calculatedColumnFormula>IF(Horaires3567314[[#This Row],[PNP Début]]=0,0,IF(Horaires3567314[[#This Row],[PNP Début]]&lt;Horaires3567314[[#This Row],[début]],1,0)+Horaires3567314[[#This Row],[PNP Début]])</calculatedColumnFormula>
    </tableColumn>
    <tableColumn id="16" name="PNP Fin corrigée" dataDxfId="79">
      <calculatedColumnFormula>IF(Horaires3567314[[#This Row],[PNP Fin]]=0,0,IF(Horaires3567314[[#This Row],[PNP Fin]]&lt;Horaires3567314[[#This Row],[début]],1,0)+Horaires3567314[[#This Row],[PNP Fin]])</calculatedColumnFormula>
    </tableColumn>
    <tableColumn id="14" name="Fin corrigée si nuit" dataDxfId="78">
      <calculatedColumnFormula>IF(Horaires3567314[[#This Row],[Fin]]&lt;Horaires3567314[[#This Row],[début]],1,0)+Horaires3567314[[#This Row],[Fin]]</calculatedColumnFormula>
    </tableColumn>
    <tableColumn id="13" name="Heures de nuit" dataDxfId="77" dataCellStyle="Milliers">
      <calculatedColumnFormula>IF(Horaires3567314[[#This Row],[Fin]]&lt;Horaires3567314[[#This Row],[début]],MAX(0,MIN(Horaires3567314[[#This Row],[Fin corrigée si nuit]],fin_nuit)-MAX(Horaires3567314[[#This Row],[début]],deb_nuit))*24,(MAX(deb_nuit,Horaires3567314[[#This Row],[Fin]])-MAX(deb_nuit,Horaires3567314[[#This Row],[début]])+MAX(MIN(fin_nuit-1,Horaires3567314[[#This Row],[Fin]])-MIN(fin_nuit-1,Horaires3567314[[#This Row],[début]]),0))*24)</calculatedColumnFormula>
    </tableColumn>
    <tableColumn id="17" name="Heures de nuit hors PNP" dataDxfId="76" dataCellStyle="Milliers">
      <calculatedColumnFormula>(MAX(0,MIN(Horaires3567314[[#This Row],[Fin corrigée si nuit]],fin_nuit)-MAX(Horaires3567314[[#This Row],[début]],deb_nuit))-IF(Horaires3567314[[#This Row],[PNP Début]]=0,0,MIN(Horaires3567314[[#This Row],[PNP Fin corrigée]],fin_nuit)-MAX(Horaires3567314[[#This Row],[PNP Début corrigé]],deb_nuit)))*24</calculatedColumnFormula>
    </tableColumn>
    <tableColumn id="18" name="heures jour dimanche" dataDxfId="75" dataCellStyle="Milliers">
      <calculatedColumnFormula>(IF(WEEKDAY(Horaires3567314[[#This Row],[Date]],2)=7,MAX(0,MIN(fin_dimJF,Horaires3567314[[#This Row],[Fin corrigée si nuit]])-MAX(deb_dimJF,Horaires3567314[[#This Row],[début]])),0)+IF(WEEKDAY(Horaires3567314[[#This Row],[Date]],2)=6,MAX(0,Horaires3567314[[#This Row],[Fin corrigée si nuit]]-(1+deb_dimJF)),0))*24</calculatedColumnFormula>
    </tableColumn>
    <tableColumn id="11" name="heures jour dimanche hors PNP" dataDxfId="74" dataCellStyle="Milliers">
      <calculatedColumnFormula>(IF(WEEKDAY(Horaires3567314[[#This Row],[Date]],2)=7,MAX(0,MIN(fin_dimJF,Horaires3567314[[#This Row],[Fin corrigée si nuit]])-MAX(deb_dimJF,Horaires3567314[[#This Row],[début]])),0)+IF(WEEKDAY(Horaires3567314[[#This Row],[Date]],2)=6,MAX(0,Horaires3567314[[#This Row],[Fin corrigée si nuit]]-(1+deb_dimJF)),0))*24-
(IF(WEEKDAY(Horaires3567314[[#This Row],[Date]],2)=7,MAX(0,MIN(fin_dimJF,Horaires3567314[[#This Row],[PNP Fin corrigée]])-MAX(deb_dimJF,Horaires3567314[[#This Row],[PNP Début corrigé]])),0)+IF(WEEKDAY(Horaires3567314[[#This Row],[Date]],2)=6,MAX(0,Horaires3567314[[#This Row],[PNP Fin corrigée]]-(1+deb_dimJF)),0))*24</calculatedColumnFormula>
    </tableColumn>
    <tableColumn id="19" name="heures jour fériés" dataDxfId="73" dataCellStyle="Milliers">
      <calculatedColumnFormula>(IF(COUNTIF(JF,Horaires3567314[[#This Row],[Date]]),MAX(0,MIN(fin_dimJF,Horaires3567314[[#This Row],[Fin corrigée si nuit]])-MAX(deb_dimJF,Horaires3567314[[#This Row],[début]])),0)+IF(COUNTIF(JF,Horaires3567314[[#This Row],[Date]]+1),MAX(0,Horaires3567314[[#This Row],[Fin corrigée si nuit]]-(1+deb_dimJF)),0))*24</calculatedColumnFormula>
    </tableColumn>
    <tableColumn id="12" name="heures jour fériés hors PNP" dataDxfId="72" dataCellStyle="Milliers">
      <calculatedColumnFormula>(IF(COUNTIF(JF,Horaires3567314[[#This Row],[Date]]),MAX(0,MIN(fin_dimJF,Horaires3567314[[#This Row],[Fin corrigée si nuit]])-MAX(deb_dimJF,Horaires3567314[[#This Row],[début]])),0)+IF(COUNTIF(JF,Horaires3567314[[#This Row],[Date]]+1),MAX(0,Horaires3567314[[#This Row],[Fin corrigée si nuit]]-(1+deb_dimJF)),0))*24-
(IF(COUNTIF(JF,Horaires3567314[[#This Row],[Date]]),MAX(0,MIN(fin_dimJF,Horaires3567314[[#This Row],[PNP Fin corrigée]])-MAX(deb_dimJF,Horaires3567314[[#This Row],[PNP Début corrigé]])),0)+IF(COUNTIF(JF,Horaires3567314[[#This Row],[Date]]+1),MAX(0,Horaires3567314[[#This Row],[PNP Fin corrigée]]-(1+deb_dimJF)),0))*24</calculatedColumnFormula>
    </tableColumn>
  </tableColumns>
  <tableStyleInfo name="TableStyleLight9" showFirstColumn="0" showLastColumn="0" showRowStripes="1" showColumnStripes="0"/>
</table>
</file>

<file path=xl/tables/table11.xml><?xml version="1.0" encoding="utf-8"?>
<table xmlns="http://schemas.openxmlformats.org/spreadsheetml/2006/main" id="12" name="Horaires35673413" displayName="Horaires35673413" ref="A12:S49" totalsRowShown="0" headerRowDxfId="71" dataDxfId="69" headerRowBorderDxfId="70" tableBorderDxfId="68" totalsRowBorderDxfId="67">
  <autoFilter ref="A12:S49"/>
  <tableColumns count="19">
    <tableColumn id="1" name="Date" dataDxfId="66"/>
    <tableColumn id="2" name="Service" dataDxfId="65"/>
    <tableColumn id="3" name="début" dataDxfId="64"/>
    <tableColumn id="4" name="Fin" dataDxfId="63"/>
    <tableColumn id="5" name="PP Début" dataDxfId="62"/>
    <tableColumn id="6" name="PP Fin" dataDxfId="61"/>
    <tableColumn id="7" name="PNP Début" dataDxfId="60"/>
    <tableColumn id="8" name="PNP Fin" dataDxfId="59"/>
    <tableColumn id="10" name="Majoration" dataDxfId="58" dataCellStyle="Milliers">
      <calculatedColumnFormula>0.1*(Horaires35673413[[#This Row],[Heures de nuit]]+Horaires35673413[[#This Row],[heures jour dimanche]]+Horaires35673413[[#This Row],[heures jour fériés]])</calculatedColumnFormula>
    </tableColumn>
    <tableColumn id="9" name="Heures totales payées" dataDxfId="57" dataCellStyle="Milliers">
      <calculatedColumnFormula>(MOD(Horaires35673413[[#This Row],[Fin]]-Horaires35673413[[#This Row],[début]],1)-MOD(Horaires35673413[[#This Row],[PNP Fin]]-Horaires35673413[[#This Row],[PNP Début]],1))*24</calculatedColumnFormula>
    </tableColumn>
    <tableColumn id="15" name="PNP Début corrigé" dataDxfId="56">
      <calculatedColumnFormula>IF(Horaires35673413[[#This Row],[PNP Début]]=0,0,IF(Horaires35673413[[#This Row],[PNP Début]]&lt;Horaires35673413[[#This Row],[début]],1,0)+Horaires35673413[[#This Row],[PNP Début]])</calculatedColumnFormula>
    </tableColumn>
    <tableColumn id="16" name="PNP Fin corrigée" dataDxfId="55">
      <calculatedColumnFormula>IF(Horaires35673413[[#This Row],[PNP Fin]]=0,0,IF(Horaires35673413[[#This Row],[PNP Fin]]&lt;Horaires35673413[[#This Row],[début]],1,0)+Horaires35673413[[#This Row],[PNP Fin]])</calculatedColumnFormula>
    </tableColumn>
    <tableColumn id="14" name="Fin corrigée si nuit" dataDxfId="54">
      <calculatedColumnFormula>IF(Horaires35673413[[#This Row],[Fin]]&lt;Horaires35673413[[#This Row],[début]],1,0)+Horaires35673413[[#This Row],[Fin]]</calculatedColumnFormula>
    </tableColumn>
    <tableColumn id="13" name="Heures de nuit" dataDxfId="53" dataCellStyle="Milliers">
      <calculatedColumnFormula>IF(Horaires35673413[[#This Row],[Fin]]&lt;Horaires35673413[[#This Row],[début]],MAX(0,MIN(Horaires35673413[[#This Row],[Fin corrigée si nuit]],fin_nuit)-MAX(Horaires35673413[[#This Row],[début]],deb_nuit))*24,(MAX(deb_nuit,Horaires35673413[[#This Row],[Fin]])-MAX(deb_nuit,Horaires35673413[[#This Row],[début]])+MAX(MIN(fin_nuit-1,Horaires35673413[[#This Row],[Fin]])-MIN(fin_nuit-1,Horaires35673413[[#This Row],[début]]),0))*24)</calculatedColumnFormula>
    </tableColumn>
    <tableColumn id="17" name="Heures de nuit hors PNP" dataDxfId="52" dataCellStyle="Milliers">
      <calculatedColumnFormula>(MAX(0,MIN(Horaires35673413[[#This Row],[Fin corrigée si nuit]],fin_nuit)-MAX(Horaires35673413[[#This Row],[début]],deb_nuit))-IF(Horaires35673413[[#This Row],[PNP Début]]=0,0,MIN(Horaires35673413[[#This Row],[PNP Fin corrigée]],fin_nuit)-MAX(Horaires35673413[[#This Row],[PNP Début corrigé]],deb_nuit)))*24</calculatedColumnFormula>
    </tableColumn>
    <tableColumn id="18" name="heures jour dimanche" dataDxfId="51" dataCellStyle="Milliers">
      <calculatedColumnFormula>(IF(WEEKDAY(Horaires35673413[[#This Row],[Date]],2)=7,MAX(0,MIN(fin_dimJF,Horaires35673413[[#This Row],[Fin corrigée si nuit]])-MAX(deb_dimJF,Horaires35673413[[#This Row],[début]])),0)+IF(WEEKDAY(Horaires35673413[[#This Row],[Date]],2)=6,MAX(0,Horaires35673413[[#This Row],[Fin corrigée si nuit]]-(1+deb_dimJF)),0))*24</calculatedColumnFormula>
    </tableColumn>
    <tableColumn id="11" name="heures jour dimanche hors PNP" dataDxfId="50" dataCellStyle="Milliers">
      <calculatedColumnFormula>(IF(WEEKDAY(Horaires35673413[[#This Row],[Date]],2)=7,MAX(0,MIN(fin_dimJF,Horaires35673413[[#This Row],[Fin corrigée si nuit]])-MAX(deb_dimJF,Horaires35673413[[#This Row],[début]])),0)+IF(WEEKDAY(Horaires35673413[[#This Row],[Date]],2)=6,MAX(0,Horaires35673413[[#This Row],[Fin corrigée si nuit]]-(1+deb_dimJF)),0))*24-
(IF(WEEKDAY(Horaires35673413[[#This Row],[Date]],2)=7,MAX(0,MIN(fin_dimJF,Horaires35673413[[#This Row],[PNP Fin corrigée]])-MAX(deb_dimJF,Horaires35673413[[#This Row],[PNP Début corrigé]])),0)+IF(WEEKDAY(Horaires35673413[[#This Row],[Date]],2)=6,MAX(0,Horaires35673413[[#This Row],[PNP Fin corrigée]]-(1+deb_dimJF)),0))*24</calculatedColumnFormula>
    </tableColumn>
    <tableColumn id="19" name="heures jour fériés" dataDxfId="49" dataCellStyle="Milliers">
      <calculatedColumnFormula>(IF(COUNTIF(JF,Horaires35673413[[#This Row],[Date]]),MAX(0,MIN(fin_dimJF,Horaires35673413[[#This Row],[Fin corrigée si nuit]])-MAX(deb_dimJF,Horaires35673413[[#This Row],[début]])),0)+IF(COUNTIF(JF,Horaires35673413[[#This Row],[Date]]+1),MAX(0,Horaires35673413[[#This Row],[Fin corrigée si nuit]]-(1+deb_dimJF)),0))*24</calculatedColumnFormula>
    </tableColumn>
    <tableColumn id="12" name="heures jour fériés hors PNP" dataDxfId="48" dataCellStyle="Milliers">
      <calculatedColumnFormula>(IF(COUNTIF(JF,Horaires35673413[[#This Row],[Date]]),MAX(0,MIN(fin_dimJF,Horaires35673413[[#This Row],[Fin corrigée si nuit]])-MAX(deb_dimJF,Horaires35673413[[#This Row],[début]])),0)+IF(COUNTIF(JF,Horaires35673413[[#This Row],[Date]]+1),MAX(0,Horaires35673413[[#This Row],[Fin corrigée si nuit]]-(1+deb_dimJF)),0))*24-
(IF(COUNTIF(JF,Horaires35673413[[#This Row],[Date]]),MAX(0,MIN(fin_dimJF,Horaires35673413[[#This Row],[PNP Fin corrigée]])-MAX(deb_dimJF,Horaires35673413[[#This Row],[PNP Début corrigé]])),0)+IF(COUNTIF(JF,Horaires35673413[[#This Row],[Date]]+1),MAX(0,Horaires35673413[[#This Row],[PNP Fin corrigée]]-(1+deb_dimJF)),0))*24</calculatedColumnFormula>
    </tableColumn>
  </tableColumns>
  <tableStyleInfo name="TableStyleLight9" showFirstColumn="0" showLastColumn="0" showRowStripes="1" showColumnStripes="0"/>
</table>
</file>

<file path=xl/tables/table12.xml><?xml version="1.0" encoding="utf-8"?>
<table xmlns="http://schemas.openxmlformats.org/spreadsheetml/2006/main" id="11" name="Horaires356734512" displayName="Horaires356734512" ref="A12:S49" totalsRowShown="0" headerRowDxfId="47" dataDxfId="45" headerRowBorderDxfId="46" tableBorderDxfId="44" totalsRowBorderDxfId="43">
  <autoFilter ref="A12:S49"/>
  <tableColumns count="19">
    <tableColumn id="1" name="Date" dataDxfId="42"/>
    <tableColumn id="2" name="Service" dataDxfId="41"/>
    <tableColumn id="3" name="début" dataDxfId="40"/>
    <tableColumn id="4" name="Fin" dataDxfId="39"/>
    <tableColumn id="5" name="PP Début" dataDxfId="38"/>
    <tableColumn id="6" name="PP Fin" dataDxfId="37"/>
    <tableColumn id="7" name="PNP Début" dataDxfId="36"/>
    <tableColumn id="8" name="PNP Fin" dataDxfId="35"/>
    <tableColumn id="10" name="Majoration" dataDxfId="34" dataCellStyle="Milliers">
      <calculatedColumnFormula>0.1*(Horaires356734512[[#This Row],[Heures de nuit]]+Horaires356734512[[#This Row],[heures jour dimanche]]+Horaires356734512[[#This Row],[heures jour fériés]])</calculatedColumnFormula>
    </tableColumn>
    <tableColumn id="9" name="Heures totales payées" dataDxfId="33" dataCellStyle="Milliers">
      <calculatedColumnFormula>(MOD(Horaires356734512[[#This Row],[Fin]]-Horaires356734512[[#This Row],[début]],1)-MOD(Horaires356734512[[#This Row],[PNP Fin]]-Horaires356734512[[#This Row],[PNP Début]],1))*24</calculatedColumnFormula>
    </tableColumn>
    <tableColumn id="15" name="PNP Début corrigé" dataDxfId="32">
      <calculatedColumnFormula>IF(Horaires356734512[[#This Row],[PNP Début]]=0,0,IF(Horaires356734512[[#This Row],[PNP Début]]&lt;Horaires356734512[[#This Row],[début]],1,0)+Horaires356734512[[#This Row],[PNP Début]])</calculatedColumnFormula>
    </tableColumn>
    <tableColumn id="16" name="PNP Fin corrigée" dataDxfId="31">
      <calculatedColumnFormula>IF(Horaires356734512[[#This Row],[PNP Fin]]=0,0,IF(Horaires356734512[[#This Row],[PNP Fin]]&lt;Horaires356734512[[#This Row],[début]],1,0)+Horaires356734512[[#This Row],[PNP Fin]])</calculatedColumnFormula>
    </tableColumn>
    <tableColumn id="14" name="Fin corrigée si nuit" dataDxfId="30">
      <calculatedColumnFormula>IF(Horaires356734512[[#This Row],[Fin]]&lt;Horaires356734512[[#This Row],[début]],1,0)+Horaires356734512[[#This Row],[Fin]]</calculatedColumnFormula>
    </tableColumn>
    <tableColumn id="13" name="Heures de nuit" dataDxfId="29" dataCellStyle="Milliers">
      <calculatedColumnFormula>IF(Horaires356734512[[#This Row],[Fin]]&lt;Horaires356734512[[#This Row],[début]],MAX(0,MIN(Horaires356734512[[#This Row],[Fin corrigée si nuit]],fin_nuit)-MAX(Horaires356734512[[#This Row],[début]],deb_nuit))*24,(MAX(deb_nuit,Horaires356734512[[#This Row],[Fin]])-MAX(deb_nuit,Horaires356734512[[#This Row],[début]])+MAX(MIN(fin_nuit-1,Horaires356734512[[#This Row],[Fin]])-MIN(fin_nuit-1,Horaires356734512[[#This Row],[début]]),0))*24)</calculatedColumnFormula>
    </tableColumn>
    <tableColumn id="17" name="Heures de nuit hors PNP" dataDxfId="28" dataCellStyle="Milliers">
      <calculatedColumnFormula>(MAX(0,MIN(Horaires356734512[[#This Row],[Fin corrigée si nuit]],fin_nuit)-MAX(Horaires356734512[[#This Row],[début]],deb_nuit))-IF(Horaires356734512[[#This Row],[PNP Début]]=0,0,MIN(Horaires356734512[[#This Row],[PNP Fin corrigée]],fin_nuit)-MAX(Horaires356734512[[#This Row],[PNP Début corrigé]],deb_nuit)))*24</calculatedColumnFormula>
    </tableColumn>
    <tableColumn id="18" name="heures jour dimanche" dataDxfId="27" dataCellStyle="Milliers">
      <calculatedColumnFormula>(IF(WEEKDAY(Horaires356734512[[#This Row],[Date]],2)=7,MAX(0,MIN(fin_dimJF,Horaires356734512[[#This Row],[Fin corrigée si nuit]])-MAX(deb_dimJF,Horaires356734512[[#This Row],[début]])),0)+IF(WEEKDAY(Horaires356734512[[#This Row],[Date]],2)=6,MAX(0,Horaires356734512[[#This Row],[Fin corrigée si nuit]]-(1+deb_dimJF)),0))*24</calculatedColumnFormula>
    </tableColumn>
    <tableColumn id="11" name="heures jour dimanche hors PNP" dataDxfId="26" dataCellStyle="Milliers">
      <calculatedColumnFormula>(IF(WEEKDAY(Horaires356734512[[#This Row],[Date]],2)=7,MAX(0,MIN(fin_dimJF,Horaires356734512[[#This Row],[Fin corrigée si nuit]])-MAX(deb_dimJF,Horaires356734512[[#This Row],[début]])),0)+IF(WEEKDAY(Horaires356734512[[#This Row],[Date]],2)=6,MAX(0,Horaires356734512[[#This Row],[Fin corrigée si nuit]]-(1+deb_dimJF)),0))*24-
(IF(WEEKDAY(Horaires356734512[[#This Row],[Date]],2)=7,MAX(0,MIN(fin_dimJF,Horaires356734512[[#This Row],[PNP Fin corrigée]])-MAX(deb_dimJF,Horaires356734512[[#This Row],[PNP Début corrigé]])),0)+IF(WEEKDAY(Horaires356734512[[#This Row],[Date]],2)=6,MAX(0,Horaires356734512[[#This Row],[PNP Fin corrigée]]-(1+deb_dimJF)),0))*24</calculatedColumnFormula>
    </tableColumn>
    <tableColumn id="19" name="heures jour fériés" dataDxfId="25" dataCellStyle="Milliers">
      <calculatedColumnFormula>(IF(COUNTIF(JF,Horaires356734512[[#This Row],[Date]]),MAX(0,MIN(fin_dimJF,Horaires356734512[[#This Row],[Fin corrigée si nuit]])-MAX(deb_dimJF,Horaires356734512[[#This Row],[début]])),0)+IF(COUNTIF(JF,Horaires356734512[[#This Row],[Date]]+1),MAX(0,Horaires356734512[[#This Row],[Fin corrigée si nuit]]-(1+deb_dimJF)),0))*24</calculatedColumnFormula>
    </tableColumn>
    <tableColumn id="12" name="heures jour fériés hors PNP" dataDxfId="24" dataCellStyle="Milliers">
      <calculatedColumnFormula>(IF(COUNTIF(JF,Horaires356734512[[#This Row],[Date]]),MAX(0,MIN(fin_dimJF,Horaires356734512[[#This Row],[Fin corrigée si nuit]])-MAX(deb_dimJF,Horaires356734512[[#This Row],[début]])),0)+IF(COUNTIF(JF,Horaires356734512[[#This Row],[Date]]+1),MAX(0,Horaires356734512[[#This Row],[Fin corrigée si nuit]]-(1+deb_dimJF)),0))*24-
(IF(COUNTIF(JF,Horaires356734512[[#This Row],[Date]]),MAX(0,MIN(fin_dimJF,Horaires356734512[[#This Row],[PNP Fin corrigée]])-MAX(deb_dimJF,Horaires356734512[[#This Row],[PNP Début corrigé]])),0)+IF(COUNTIF(JF,Horaires356734512[[#This Row],[Date]]+1),MAX(0,Horaires356734512[[#This Row],[PNP Fin corrigée]]-(1+deb_dimJF)),0))*24</calculatedColumnFormula>
    </tableColumn>
  </tableColumns>
  <tableStyleInfo name="TableStyleLight9" showFirstColumn="0" showLastColumn="0" showRowStripes="1" showColumnStripes="0"/>
</table>
</file>

<file path=xl/tables/table13.xml><?xml version="1.0" encoding="utf-8"?>
<table xmlns="http://schemas.openxmlformats.org/spreadsheetml/2006/main" id="10" name="Horaires356731011" displayName="Horaires356731011" ref="A12:S49" totalsRowShown="0" headerRowDxfId="23" dataDxfId="21" headerRowBorderDxfId="22" tableBorderDxfId="20" totalsRowBorderDxfId="19">
  <autoFilter ref="A12:S49"/>
  <tableColumns count="19">
    <tableColumn id="1" name="Date" dataDxfId="18"/>
    <tableColumn id="2" name="Service" dataDxfId="17"/>
    <tableColumn id="3" name="début" dataDxfId="16"/>
    <tableColumn id="4" name="Fin" dataDxfId="15"/>
    <tableColumn id="5" name="PP Début" dataDxfId="14"/>
    <tableColumn id="6" name="PP Fin" dataDxfId="13"/>
    <tableColumn id="7" name="PNP Début" dataDxfId="12"/>
    <tableColumn id="8" name="PNP Fin" dataDxfId="11"/>
    <tableColumn id="10" name="Majoration" dataDxfId="10" dataCellStyle="Milliers">
      <calculatedColumnFormula>0.1*(Horaires356731011[[#This Row],[Heures de nuit]]+Horaires356731011[[#This Row],[heures jour dimanche]]+Horaires356731011[[#This Row],[heures jour fériés]])</calculatedColumnFormula>
    </tableColumn>
    <tableColumn id="9" name="Heures totales payées" dataDxfId="9" dataCellStyle="Milliers">
      <calculatedColumnFormula>(MOD(Horaires356731011[[#This Row],[Fin]]-Horaires356731011[[#This Row],[début]],1)-MOD(Horaires356731011[[#This Row],[PNP Fin]]-Horaires356731011[[#This Row],[PNP Début]],1))*24</calculatedColumnFormula>
    </tableColumn>
    <tableColumn id="15" name="PNP Début corrigé" dataDxfId="8">
      <calculatedColumnFormula>IF(Horaires356731011[[#This Row],[PNP Début]]=0,0,IF(Horaires356731011[[#This Row],[PNP Début]]&lt;Horaires356731011[[#This Row],[début]],1,0)+Horaires356731011[[#This Row],[PNP Début]])</calculatedColumnFormula>
    </tableColumn>
    <tableColumn id="16" name="PNP Fin corrigée" dataDxfId="7">
      <calculatedColumnFormula>IF(Horaires356731011[[#This Row],[PNP Fin]]=0,0,IF(Horaires356731011[[#This Row],[PNP Fin]]&lt;Horaires356731011[[#This Row],[début]],1,0)+Horaires356731011[[#This Row],[PNP Fin]])</calculatedColumnFormula>
    </tableColumn>
    <tableColumn id="14" name="Fin corrigée si nuit" dataDxfId="6">
      <calculatedColumnFormula>IF(Horaires356731011[[#This Row],[Fin]]&lt;Horaires356731011[[#This Row],[début]],1,0)+Horaires356731011[[#This Row],[Fin]]</calculatedColumnFormula>
    </tableColumn>
    <tableColumn id="13" name="Heures de nuit" dataDxfId="5" dataCellStyle="Milliers">
      <calculatedColumnFormula>IF(Horaires356731011[[#This Row],[Fin]]&lt;Horaires356731011[[#This Row],[début]],MAX(0,MIN(Horaires356731011[[#This Row],[Fin corrigée si nuit]],fin_nuit)-MAX(Horaires356731011[[#This Row],[début]],deb_nuit))*24,(MAX(deb_nuit,Horaires356731011[[#This Row],[Fin]])-MAX(deb_nuit,Horaires356731011[[#This Row],[début]])+MAX(MIN(fin_nuit-1,Horaires356731011[[#This Row],[Fin]])-MIN(fin_nuit-1,Horaires356731011[[#This Row],[début]]),0))*24)</calculatedColumnFormula>
    </tableColumn>
    <tableColumn id="17" name="Heures de nuit hors PNP" dataDxfId="4" dataCellStyle="Milliers">
      <calculatedColumnFormula>(MAX(0,MIN(Horaires356731011[[#This Row],[Fin corrigée si nuit]],fin_nuit)-MAX(Horaires356731011[[#This Row],[début]],deb_nuit))-IF(Horaires356731011[[#This Row],[PNP Début]]=0,0,MIN(Horaires356731011[[#This Row],[PNP Fin corrigée]],fin_nuit)-MAX(Horaires356731011[[#This Row],[PNP Début corrigé]],deb_nuit)))*24</calculatedColumnFormula>
    </tableColumn>
    <tableColumn id="18" name="heures jour dimanche" dataDxfId="3" dataCellStyle="Milliers">
      <calculatedColumnFormula>(IF(WEEKDAY(Horaires356731011[[#This Row],[Date]],2)=7,MAX(0,MIN(fin_dimJF,Horaires356731011[[#This Row],[Fin corrigée si nuit]])-MAX(deb_dimJF,Horaires356731011[[#This Row],[début]])),0)+IF(WEEKDAY(Horaires356731011[[#This Row],[Date]],2)=6,MAX(0,Horaires356731011[[#This Row],[Fin corrigée si nuit]]-(1+deb_dimJF)),0))*24</calculatedColumnFormula>
    </tableColumn>
    <tableColumn id="11" name="heures jour dimanche hors PNP" dataDxfId="2" dataCellStyle="Milliers">
      <calculatedColumnFormula>(IF(WEEKDAY(Horaires356731011[[#This Row],[Date]],2)=7,MAX(0,MIN(fin_dimJF,Horaires356731011[[#This Row],[Fin corrigée si nuit]])-MAX(deb_dimJF,Horaires356731011[[#This Row],[début]])),0)+IF(WEEKDAY(Horaires356731011[[#This Row],[Date]],2)=6,MAX(0,Horaires356731011[[#This Row],[Fin corrigée si nuit]]-(1+deb_dimJF)),0))*24-
(IF(WEEKDAY(Horaires356731011[[#This Row],[Date]],2)=7,MAX(0,MIN(fin_dimJF,Horaires356731011[[#This Row],[PNP Fin corrigée]])-MAX(deb_dimJF,Horaires356731011[[#This Row],[PNP Début corrigé]])),0)+IF(WEEKDAY(Horaires356731011[[#This Row],[Date]],2)=6,MAX(0,Horaires356731011[[#This Row],[PNP Fin corrigée]]-(1+deb_dimJF)),0))*24</calculatedColumnFormula>
    </tableColumn>
    <tableColumn id="19" name="heures jour fériés" dataDxfId="1" dataCellStyle="Milliers">
      <calculatedColumnFormula>(IF(COUNTIF(JF,Horaires356731011[[#This Row],[Date]]),MAX(0,MIN(fin_dimJF,Horaires356731011[[#This Row],[Fin corrigée si nuit]])-MAX(deb_dimJF,Horaires356731011[[#This Row],[début]])),0)+IF(COUNTIF(JF,Horaires356731011[[#This Row],[Date]]+1),MAX(0,Horaires356731011[[#This Row],[Fin corrigée si nuit]]-(1+deb_dimJF)),0))*24</calculatedColumnFormula>
    </tableColumn>
    <tableColumn id="12" name="heures jour fériés hors PNP" dataDxfId="0" dataCellStyle="Milliers">
      <calculatedColumnFormula>(IF(COUNTIF(JF,Horaires356731011[[#This Row],[Date]]),MAX(0,MIN(fin_dimJF,Horaires356731011[[#This Row],[Fin corrigée si nuit]])-MAX(deb_dimJF,Horaires356731011[[#This Row],[début]])),0)+IF(COUNTIF(JF,Horaires356731011[[#This Row],[Date]]+1),MAX(0,Horaires356731011[[#This Row],[Fin corrigée si nuit]]-(1+deb_dimJF)),0))*24-
(IF(COUNTIF(JF,Horaires356731011[[#This Row],[Date]]),MAX(0,MIN(fin_dimJF,Horaires356731011[[#This Row],[PNP Fin corrigée]])-MAX(deb_dimJF,Horaires356731011[[#This Row],[PNP Début corrigé]])),0)+IF(COUNTIF(JF,Horaires356731011[[#This Row],[Date]]+1),MAX(0,Horaires356731011[[#This Row],[PNP Fin corrigée]]-(1+deb_dimJF)),0))*24</calculatedColumnFormula>
    </tableColumn>
  </tableColumns>
  <tableStyleInfo name="TableStyleLight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drawing" Target="../drawings/drawing2.xm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2.bin"/><Relationship Id="rId6" Type="http://schemas.openxmlformats.org/officeDocument/2006/relationships/table" Target="../tables/table2.xml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3.vml"/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3.bin"/><Relationship Id="rId6" Type="http://schemas.openxmlformats.org/officeDocument/2006/relationships/table" Target="../tables/table3.xml"/><Relationship Id="rId5" Type="http://schemas.openxmlformats.org/officeDocument/2006/relationships/image" Target="../media/image2.emf"/><Relationship Id="rId4" Type="http://schemas.openxmlformats.org/officeDocument/2006/relationships/control" Target="../activeX/activeX2.xml"/></Relationships>
</file>

<file path=xl/worksheets/_rels/sheet6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4.vml"/><Relationship Id="rId2" Type="http://schemas.openxmlformats.org/officeDocument/2006/relationships/drawing" Target="../drawings/drawing5.xml"/><Relationship Id="rId1" Type="http://schemas.openxmlformats.org/officeDocument/2006/relationships/printerSettings" Target="../printerSettings/printerSettings4.bin"/><Relationship Id="rId6" Type="http://schemas.openxmlformats.org/officeDocument/2006/relationships/table" Target="../tables/table4.xml"/><Relationship Id="rId5" Type="http://schemas.openxmlformats.org/officeDocument/2006/relationships/image" Target="../media/image3.emf"/><Relationship Id="rId4" Type="http://schemas.openxmlformats.org/officeDocument/2006/relationships/control" Target="../activeX/activeX3.xml"/></Relationships>
</file>

<file path=xl/worksheets/_rels/sheet7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5.vml"/><Relationship Id="rId2" Type="http://schemas.openxmlformats.org/officeDocument/2006/relationships/drawing" Target="../drawings/drawing6.xml"/><Relationship Id="rId1" Type="http://schemas.openxmlformats.org/officeDocument/2006/relationships/printerSettings" Target="../printerSettings/printerSettings5.bin"/><Relationship Id="rId6" Type="http://schemas.openxmlformats.org/officeDocument/2006/relationships/table" Target="../tables/table5.xml"/><Relationship Id="rId5" Type="http://schemas.openxmlformats.org/officeDocument/2006/relationships/image" Target="../media/image4.emf"/><Relationship Id="rId4" Type="http://schemas.openxmlformats.org/officeDocument/2006/relationships/control" Target="../activeX/activeX4.xml"/></Relationships>
</file>

<file path=xl/worksheets/_rels/sheet8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6.vml"/><Relationship Id="rId2" Type="http://schemas.openxmlformats.org/officeDocument/2006/relationships/drawing" Target="../drawings/drawing7.xml"/><Relationship Id="rId1" Type="http://schemas.openxmlformats.org/officeDocument/2006/relationships/printerSettings" Target="../printerSettings/printerSettings6.bin"/><Relationship Id="rId6" Type="http://schemas.openxmlformats.org/officeDocument/2006/relationships/table" Target="../tables/table6.xml"/><Relationship Id="rId5" Type="http://schemas.openxmlformats.org/officeDocument/2006/relationships/image" Target="../media/image5.emf"/><Relationship Id="rId4" Type="http://schemas.openxmlformats.org/officeDocument/2006/relationships/control" Target="../activeX/activeX5.xml"/></Relationships>
</file>

<file path=xl/worksheets/_rels/sheet9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7.vml"/><Relationship Id="rId2" Type="http://schemas.openxmlformats.org/officeDocument/2006/relationships/drawing" Target="../drawings/drawing8.xml"/><Relationship Id="rId1" Type="http://schemas.openxmlformats.org/officeDocument/2006/relationships/printerSettings" Target="../printerSettings/printerSettings7.bin"/><Relationship Id="rId6" Type="http://schemas.openxmlformats.org/officeDocument/2006/relationships/table" Target="../tables/table7.xml"/><Relationship Id="rId5" Type="http://schemas.openxmlformats.org/officeDocument/2006/relationships/image" Target="../media/image6.emf"/><Relationship Id="rId4" Type="http://schemas.openxmlformats.org/officeDocument/2006/relationships/control" Target="../activeX/activeX6.xml"/></Relationships>
</file>

<file path=xl/worksheets/_rels/sheet10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8.vml"/><Relationship Id="rId2" Type="http://schemas.openxmlformats.org/officeDocument/2006/relationships/drawing" Target="../drawings/drawing9.xml"/><Relationship Id="rId1" Type="http://schemas.openxmlformats.org/officeDocument/2006/relationships/printerSettings" Target="../printerSettings/printerSettings8.bin"/><Relationship Id="rId6" Type="http://schemas.openxmlformats.org/officeDocument/2006/relationships/table" Target="../tables/table8.xml"/><Relationship Id="rId5" Type="http://schemas.openxmlformats.org/officeDocument/2006/relationships/image" Target="../media/image7.emf"/><Relationship Id="rId4" Type="http://schemas.openxmlformats.org/officeDocument/2006/relationships/control" Target="../activeX/activeX7.xml"/></Relationships>
</file>

<file path=xl/worksheets/_rels/sheet1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9.vml"/><Relationship Id="rId2" Type="http://schemas.openxmlformats.org/officeDocument/2006/relationships/drawing" Target="../drawings/drawing10.xml"/><Relationship Id="rId1" Type="http://schemas.openxmlformats.org/officeDocument/2006/relationships/printerSettings" Target="../printerSettings/printerSettings9.bin"/><Relationship Id="rId6" Type="http://schemas.openxmlformats.org/officeDocument/2006/relationships/table" Target="../tables/table9.xml"/><Relationship Id="rId5" Type="http://schemas.openxmlformats.org/officeDocument/2006/relationships/image" Target="../media/image8.emf"/><Relationship Id="rId4" Type="http://schemas.openxmlformats.org/officeDocument/2006/relationships/control" Target="../activeX/activeX8.xml"/></Relationships>
</file>

<file path=xl/worksheets/_rels/sheet1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0.vml"/><Relationship Id="rId2" Type="http://schemas.openxmlformats.org/officeDocument/2006/relationships/drawing" Target="../drawings/drawing11.xml"/><Relationship Id="rId1" Type="http://schemas.openxmlformats.org/officeDocument/2006/relationships/printerSettings" Target="../printerSettings/printerSettings10.bin"/><Relationship Id="rId6" Type="http://schemas.openxmlformats.org/officeDocument/2006/relationships/table" Target="../tables/table10.xml"/><Relationship Id="rId5" Type="http://schemas.openxmlformats.org/officeDocument/2006/relationships/image" Target="../media/image9.emf"/><Relationship Id="rId4" Type="http://schemas.openxmlformats.org/officeDocument/2006/relationships/control" Target="../activeX/activeX9.xml"/></Relationships>
</file>

<file path=xl/worksheets/_rels/sheet1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1.vml"/><Relationship Id="rId2" Type="http://schemas.openxmlformats.org/officeDocument/2006/relationships/drawing" Target="../drawings/drawing12.xml"/><Relationship Id="rId1" Type="http://schemas.openxmlformats.org/officeDocument/2006/relationships/printerSettings" Target="../printerSettings/printerSettings11.bin"/><Relationship Id="rId6" Type="http://schemas.openxmlformats.org/officeDocument/2006/relationships/table" Target="../tables/table11.xml"/><Relationship Id="rId5" Type="http://schemas.openxmlformats.org/officeDocument/2006/relationships/image" Target="../media/image10.emf"/><Relationship Id="rId4" Type="http://schemas.openxmlformats.org/officeDocument/2006/relationships/control" Target="../activeX/activeX10.xml"/></Relationships>
</file>

<file path=xl/worksheets/_rels/sheet14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2.vml"/><Relationship Id="rId2" Type="http://schemas.openxmlformats.org/officeDocument/2006/relationships/drawing" Target="../drawings/drawing13.xml"/><Relationship Id="rId1" Type="http://schemas.openxmlformats.org/officeDocument/2006/relationships/printerSettings" Target="../printerSettings/printerSettings12.bin"/><Relationship Id="rId6" Type="http://schemas.openxmlformats.org/officeDocument/2006/relationships/table" Target="../tables/table12.xml"/><Relationship Id="rId5" Type="http://schemas.openxmlformats.org/officeDocument/2006/relationships/image" Target="../media/image11.emf"/><Relationship Id="rId4" Type="http://schemas.openxmlformats.org/officeDocument/2006/relationships/control" Target="../activeX/activeX11.xml"/></Relationships>
</file>

<file path=xl/worksheets/_rels/sheet15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3.vml"/><Relationship Id="rId2" Type="http://schemas.openxmlformats.org/officeDocument/2006/relationships/drawing" Target="../drawings/drawing14.xml"/><Relationship Id="rId1" Type="http://schemas.openxmlformats.org/officeDocument/2006/relationships/printerSettings" Target="../printerSettings/printerSettings13.bin"/><Relationship Id="rId6" Type="http://schemas.openxmlformats.org/officeDocument/2006/relationships/table" Target="../tables/table13.xml"/><Relationship Id="rId5" Type="http://schemas.openxmlformats.org/officeDocument/2006/relationships/image" Target="../media/image12.emf"/><Relationship Id="rId4" Type="http://schemas.openxmlformats.org/officeDocument/2006/relationships/control" Target="../activeX/activeX1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6">
    <tabColor rgb="FFFF0000"/>
  </sheetPr>
  <dimension ref="A1:H16"/>
  <sheetViews>
    <sheetView workbookViewId="0">
      <selection activeCell="F2" sqref="F2"/>
    </sheetView>
  </sheetViews>
  <sheetFormatPr baseColWidth="10" defaultRowHeight="14.5" x14ac:dyDescent="0.35"/>
  <cols>
    <col min="1" max="1" width="26" style="63" customWidth="1"/>
    <col min="2" max="2" width="27.08984375" style="63" customWidth="1"/>
    <col min="3" max="3" width="14.90625" style="63" customWidth="1"/>
    <col min="4" max="4" width="21" style="63" customWidth="1"/>
    <col min="5" max="5" width="14" style="63" customWidth="1"/>
    <col min="6" max="6" width="19.1796875" style="63" customWidth="1"/>
  </cols>
  <sheetData>
    <row r="1" spans="1:8" ht="37.25" customHeight="1" thickBot="1" x14ac:dyDescent="0.4">
      <c r="A1" s="77" t="s">
        <v>50</v>
      </c>
      <c r="B1" s="77" t="s">
        <v>67</v>
      </c>
      <c r="C1" s="79" t="s">
        <v>68</v>
      </c>
      <c r="D1" s="80" t="s">
        <v>66</v>
      </c>
      <c r="E1" s="79" t="s">
        <v>68</v>
      </c>
      <c r="F1" s="80" t="s">
        <v>69</v>
      </c>
      <c r="G1" s="100">
        <v>2018</v>
      </c>
    </row>
    <row r="2" spans="1:8" ht="16" customHeight="1" x14ac:dyDescent="0.35">
      <c r="A2" s="84" t="s">
        <v>51</v>
      </c>
      <c r="B2" s="78">
        <f ca="1">COUNTA(INDIRECT("'"&amp;$A2&amp;" "&amp;RIGHT(G$1,2)&amp;"'!A13:A49"))</f>
        <v>0</v>
      </c>
      <c r="C2" s="81">
        <f ca="1">D2/24</f>
        <v>0</v>
      </c>
      <c r="D2" s="82">
        <f ca="1">INDIRECT("'"&amp;$A2&amp;" "&amp;RIGHT(G$1,2)&amp;"'!I50")</f>
        <v>0</v>
      </c>
      <c r="E2" s="81">
        <f ca="1">F2/24</f>
        <v>0</v>
      </c>
      <c r="F2" s="82">
        <f ca="1">INDIRECT("'"&amp;$A2&amp;" "&amp;RIGHT(G$1,2)&amp;"'!J50")</f>
        <v>0</v>
      </c>
    </row>
    <row r="3" spans="1:8" ht="16" customHeight="1" x14ac:dyDescent="0.35">
      <c r="A3" s="84" t="s">
        <v>52</v>
      </c>
      <c r="B3" s="78">
        <f t="shared" ref="B3:B13" ca="1" si="0">COUNTA(INDIRECT("'"&amp;$A3&amp;" "&amp;RIGHT(G$1,2)&amp;"'!A13:A49"))</f>
        <v>0</v>
      </c>
      <c r="C3" s="81">
        <f t="shared" ref="C3:C13" ca="1" si="1">D3/24</f>
        <v>0</v>
      </c>
      <c r="D3" s="82">
        <f t="shared" ref="D3:D13" ca="1" si="2">INDIRECT("'"&amp;$A3&amp;" "&amp;RIGHT(G$1,2)&amp;"'!I50")</f>
        <v>0</v>
      </c>
      <c r="E3" s="81">
        <f t="shared" ref="E3:E13" ca="1" si="3">F3/24</f>
        <v>0</v>
      </c>
      <c r="F3" s="82">
        <f t="shared" ref="F3:F13" ca="1" si="4">INDIRECT("'"&amp;$A3&amp;" "&amp;RIGHT(G$1,2)&amp;"'!J50")</f>
        <v>0</v>
      </c>
    </row>
    <row r="4" spans="1:8" ht="16" customHeight="1" x14ac:dyDescent="0.35">
      <c r="A4" s="84" t="s">
        <v>53</v>
      </c>
      <c r="B4" s="78">
        <f t="shared" ca="1" si="0"/>
        <v>0</v>
      </c>
      <c r="C4" s="81">
        <f t="shared" ca="1" si="1"/>
        <v>0</v>
      </c>
      <c r="D4" s="82">
        <f t="shared" ca="1" si="2"/>
        <v>0</v>
      </c>
      <c r="E4" s="81">
        <f t="shared" ca="1" si="3"/>
        <v>0</v>
      </c>
      <c r="F4" s="82">
        <f t="shared" ca="1" si="4"/>
        <v>0</v>
      </c>
    </row>
    <row r="5" spans="1:8" ht="16" customHeight="1" x14ac:dyDescent="0.35">
      <c r="A5" s="84" t="s">
        <v>54</v>
      </c>
      <c r="B5" s="78">
        <f t="shared" ca="1" si="0"/>
        <v>0</v>
      </c>
      <c r="C5" s="81">
        <f t="shared" ca="1" si="1"/>
        <v>0</v>
      </c>
      <c r="D5" s="82">
        <f t="shared" ca="1" si="2"/>
        <v>0</v>
      </c>
      <c r="E5" s="81">
        <f t="shared" ca="1" si="3"/>
        <v>0</v>
      </c>
      <c r="F5" s="82">
        <f t="shared" ca="1" si="4"/>
        <v>0</v>
      </c>
    </row>
    <row r="6" spans="1:8" ht="16" customHeight="1" x14ac:dyDescent="0.35">
      <c r="A6" s="84" t="s">
        <v>55</v>
      </c>
      <c r="B6" s="78">
        <f t="shared" ca="1" si="0"/>
        <v>0</v>
      </c>
      <c r="C6" s="81">
        <f t="shared" ca="1" si="1"/>
        <v>0</v>
      </c>
      <c r="D6" s="82">
        <f t="shared" ca="1" si="2"/>
        <v>0</v>
      </c>
      <c r="E6" s="81">
        <f t="shared" ca="1" si="3"/>
        <v>0</v>
      </c>
      <c r="F6" s="82">
        <f t="shared" ca="1" si="4"/>
        <v>0</v>
      </c>
    </row>
    <row r="7" spans="1:8" ht="16" customHeight="1" x14ac:dyDescent="0.35">
      <c r="A7" s="84" t="s">
        <v>56</v>
      </c>
      <c r="B7" s="78">
        <f t="shared" ca="1" si="0"/>
        <v>0</v>
      </c>
      <c r="C7" s="81">
        <f t="shared" ca="1" si="1"/>
        <v>0</v>
      </c>
      <c r="D7" s="82">
        <f t="shared" ca="1" si="2"/>
        <v>0</v>
      </c>
      <c r="E7" s="81">
        <f t="shared" ca="1" si="3"/>
        <v>0</v>
      </c>
      <c r="F7" s="82">
        <f t="shared" ca="1" si="4"/>
        <v>0</v>
      </c>
    </row>
    <row r="8" spans="1:8" ht="16" customHeight="1" x14ac:dyDescent="0.35">
      <c r="A8" s="84" t="s">
        <v>57</v>
      </c>
      <c r="B8" s="78">
        <f t="shared" ca="1" si="0"/>
        <v>0</v>
      </c>
      <c r="C8" s="81">
        <f t="shared" ca="1" si="1"/>
        <v>0</v>
      </c>
      <c r="D8" s="82">
        <f t="shared" ca="1" si="2"/>
        <v>0</v>
      </c>
      <c r="E8" s="81">
        <f t="shared" ca="1" si="3"/>
        <v>0</v>
      </c>
      <c r="F8" s="82">
        <f t="shared" ca="1" si="4"/>
        <v>0</v>
      </c>
    </row>
    <row r="9" spans="1:8" ht="16" customHeight="1" x14ac:dyDescent="0.35">
      <c r="A9" s="84" t="s">
        <v>58</v>
      </c>
      <c r="B9" s="78">
        <f t="shared" ca="1" si="0"/>
        <v>0</v>
      </c>
      <c r="C9" s="81">
        <f t="shared" ca="1" si="1"/>
        <v>0</v>
      </c>
      <c r="D9" s="82">
        <f t="shared" ca="1" si="2"/>
        <v>0</v>
      </c>
      <c r="E9" s="81">
        <f t="shared" ca="1" si="3"/>
        <v>0</v>
      </c>
      <c r="F9" s="82">
        <f t="shared" ca="1" si="4"/>
        <v>0</v>
      </c>
    </row>
    <row r="10" spans="1:8" ht="16" customHeight="1" x14ac:dyDescent="0.35">
      <c r="A10" s="84" t="s">
        <v>59</v>
      </c>
      <c r="B10" s="78">
        <f t="shared" ca="1" si="0"/>
        <v>0</v>
      </c>
      <c r="C10" s="81">
        <f t="shared" ca="1" si="1"/>
        <v>0</v>
      </c>
      <c r="D10" s="82">
        <f t="shared" ca="1" si="2"/>
        <v>0</v>
      </c>
      <c r="E10" s="81">
        <f t="shared" ca="1" si="3"/>
        <v>0</v>
      </c>
      <c r="F10" s="82">
        <f t="shared" ca="1" si="4"/>
        <v>0</v>
      </c>
    </row>
    <row r="11" spans="1:8" ht="16" customHeight="1" x14ac:dyDescent="0.35">
      <c r="A11" s="84" t="s">
        <v>60</v>
      </c>
      <c r="B11" s="78">
        <f t="shared" ca="1" si="0"/>
        <v>0</v>
      </c>
      <c r="C11" s="81">
        <f t="shared" ca="1" si="1"/>
        <v>0</v>
      </c>
      <c r="D11" s="82">
        <f t="shared" ca="1" si="2"/>
        <v>0</v>
      </c>
      <c r="E11" s="81">
        <f t="shared" ca="1" si="3"/>
        <v>0</v>
      </c>
      <c r="F11" s="82">
        <f t="shared" ca="1" si="4"/>
        <v>0</v>
      </c>
    </row>
    <row r="12" spans="1:8" ht="16" customHeight="1" x14ac:dyDescent="0.35">
      <c r="A12" s="84" t="s">
        <v>61</v>
      </c>
      <c r="B12" s="78">
        <f t="shared" ca="1" si="0"/>
        <v>0</v>
      </c>
      <c r="C12" s="81">
        <f t="shared" ca="1" si="1"/>
        <v>0</v>
      </c>
      <c r="D12" s="82">
        <f t="shared" ca="1" si="2"/>
        <v>0</v>
      </c>
      <c r="E12" s="81">
        <f t="shared" ca="1" si="3"/>
        <v>0</v>
      </c>
      <c r="F12" s="82">
        <f t="shared" ca="1" si="4"/>
        <v>0</v>
      </c>
    </row>
    <row r="13" spans="1:8" ht="16" customHeight="1" x14ac:dyDescent="0.35">
      <c r="A13" s="84" t="s">
        <v>62</v>
      </c>
      <c r="B13" s="78">
        <f t="shared" ca="1" si="0"/>
        <v>0</v>
      </c>
      <c r="C13" s="81">
        <f t="shared" ca="1" si="1"/>
        <v>0</v>
      </c>
      <c r="D13" s="82">
        <f t="shared" ca="1" si="2"/>
        <v>0</v>
      </c>
      <c r="E13" s="83">
        <f t="shared" ca="1" si="3"/>
        <v>0</v>
      </c>
      <c r="F13" s="82">
        <f t="shared" ca="1" si="4"/>
        <v>0</v>
      </c>
    </row>
    <row r="14" spans="1:8" ht="3.65" customHeight="1" thickBot="1" x14ac:dyDescent="0.4">
      <c r="A14" s="89"/>
      <c r="B14" s="89"/>
      <c r="C14" s="90"/>
      <c r="D14" s="91"/>
      <c r="E14" s="92"/>
      <c r="F14" s="91"/>
    </row>
    <row r="15" spans="1:8" ht="28" customHeight="1" thickBot="1" x14ac:dyDescent="0.4">
      <c r="A15" s="85" t="s">
        <v>63</v>
      </c>
      <c r="B15" s="86">
        <f ca="1">SUM(B2:B14)</f>
        <v>0</v>
      </c>
      <c r="C15" s="87">
        <f ca="1">SUM(C2:C13)</f>
        <v>0</v>
      </c>
      <c r="D15" s="88">
        <f ca="1">SUM(D2:D14)</f>
        <v>0</v>
      </c>
      <c r="E15" s="87">
        <f ca="1">SUM(E2:E13)</f>
        <v>0</v>
      </c>
      <c r="F15" s="88">
        <f ca="1">SUM(F2:F14)</f>
        <v>0</v>
      </c>
    </row>
    <row r="16" spans="1:8" ht="28" customHeight="1" x14ac:dyDescent="0.35">
      <c r="A16" s="73"/>
      <c r="B16" s="74"/>
      <c r="C16" s="74"/>
      <c r="D16" s="75"/>
      <c r="E16" s="75"/>
      <c r="F16" s="75"/>
      <c r="G16" s="76"/>
      <c r="H16" s="76"/>
    </row>
  </sheetData>
  <pageMargins left="0.7" right="0.7" top="0.75" bottom="0.75" header="0.3" footer="0.3"/>
  <ignoredErrors>
    <ignoredError sqref="E15 C15" formula="1"/>
  </ignoredError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4">
    <tabColor rgb="FF00B050"/>
  </sheetPr>
  <dimension ref="A1:B4"/>
  <sheetViews>
    <sheetView workbookViewId="0">
      <selection activeCell="C16" sqref="C16"/>
    </sheetView>
  </sheetViews>
  <sheetFormatPr baseColWidth="10" defaultRowHeight="14.5" x14ac:dyDescent="0.35"/>
  <cols>
    <col min="1" max="1" width="21.81640625" customWidth="1"/>
  </cols>
  <sheetData>
    <row r="1" spans="1:2" x14ac:dyDescent="0.35">
      <c r="A1" t="s">
        <v>13</v>
      </c>
      <c r="B1" s="9">
        <v>0.95833333333333337</v>
      </c>
    </row>
    <row r="2" spans="1:2" x14ac:dyDescent="0.35">
      <c r="A2" t="s">
        <v>14</v>
      </c>
      <c r="B2" s="10">
        <v>1.25</v>
      </c>
    </row>
    <row r="3" spans="1:2" x14ac:dyDescent="0.35">
      <c r="A3" t="s">
        <v>15</v>
      </c>
      <c r="B3" s="9">
        <v>0.25</v>
      </c>
    </row>
    <row r="4" spans="1:2" x14ac:dyDescent="0.35">
      <c r="A4" t="s">
        <v>16</v>
      </c>
      <c r="B4" s="9">
        <v>0.95833333333333337</v>
      </c>
    </row>
  </sheetData>
  <sheetProtection selectLockedCells="1" selectUnlockedCells="1"/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reinit">
                <anchor moveWithCells="1" sizeWithCells="1">
                  <from>
                    <xdr:col>0</xdr:col>
                    <xdr:colOff>342900</xdr:colOff>
                    <xdr:row>7</xdr:row>
                    <xdr:rowOff>6350</xdr:rowOff>
                  </from>
                  <to>
                    <xdr:col>3</xdr:col>
                    <xdr:colOff>749300</xdr:colOff>
                    <xdr:row>10</xdr:row>
                    <xdr:rowOff>25400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>
    <tabColor rgb="FFFFFF00"/>
  </sheetPr>
  <dimension ref="A1:F65"/>
  <sheetViews>
    <sheetView showZeros="0" topLeftCell="A20" workbookViewId="0">
      <selection activeCell="A66" sqref="A66:XFD66"/>
    </sheetView>
  </sheetViews>
  <sheetFormatPr baseColWidth="10" defaultRowHeight="14.5" x14ac:dyDescent="0.35"/>
  <cols>
    <col min="1" max="1" width="10" customWidth="1"/>
    <col min="2" max="2" width="23.08984375" style="4" customWidth="1"/>
    <col min="3" max="3" width="17.08984375" customWidth="1"/>
    <col min="4" max="4" width="19.1796875" customWidth="1"/>
  </cols>
  <sheetData>
    <row r="1" spans="1:4" x14ac:dyDescent="0.35">
      <c r="A1" s="66">
        <v>2018</v>
      </c>
      <c r="B1" s="67" t="s">
        <v>41</v>
      </c>
      <c r="C1" s="68">
        <v>43101</v>
      </c>
      <c r="D1" s="69">
        <f>IF(WEEKDAY(C1,2)=7,0,C1)</f>
        <v>43101</v>
      </c>
    </row>
    <row r="2" spans="1:4" x14ac:dyDescent="0.35">
      <c r="A2" s="70"/>
      <c r="B2" s="67" t="s">
        <v>38</v>
      </c>
      <c r="C2" s="68">
        <v>43189</v>
      </c>
      <c r="D2" s="69">
        <f t="shared" ref="D2:D12" si="0">IF(WEEKDAY(C2,2)=7,0,C2)</f>
        <v>43189</v>
      </c>
    </row>
    <row r="3" spans="1:4" x14ac:dyDescent="0.35">
      <c r="A3" s="70"/>
      <c r="B3" s="67" t="s">
        <v>7</v>
      </c>
      <c r="C3" s="68">
        <v>43192</v>
      </c>
      <c r="D3" s="69">
        <f t="shared" si="0"/>
        <v>43192</v>
      </c>
    </row>
    <row r="4" spans="1:4" x14ac:dyDescent="0.35">
      <c r="A4" s="70"/>
      <c r="B4" s="67" t="s">
        <v>42</v>
      </c>
      <c r="C4" s="68">
        <v>43230</v>
      </c>
      <c r="D4" s="69">
        <f t="shared" si="0"/>
        <v>43230</v>
      </c>
    </row>
    <row r="5" spans="1:4" x14ac:dyDescent="0.35">
      <c r="A5" s="70"/>
      <c r="B5" s="67" t="s">
        <v>43</v>
      </c>
      <c r="C5" s="68">
        <v>43241</v>
      </c>
      <c r="D5" s="69">
        <f t="shared" si="0"/>
        <v>43241</v>
      </c>
    </row>
    <row r="6" spans="1:4" x14ac:dyDescent="0.35">
      <c r="A6" s="70"/>
      <c r="B6" s="67" t="s">
        <v>44</v>
      </c>
      <c r="C6" s="68">
        <v>43313</v>
      </c>
      <c r="D6" s="69">
        <f t="shared" si="0"/>
        <v>43313</v>
      </c>
    </row>
    <row r="7" spans="1:4" x14ac:dyDescent="0.35">
      <c r="A7" s="70"/>
      <c r="B7" s="67" t="s">
        <v>45</v>
      </c>
      <c r="C7" s="68">
        <v>43349</v>
      </c>
      <c r="D7" s="69">
        <f t="shared" si="0"/>
        <v>43349</v>
      </c>
    </row>
    <row r="8" spans="1:4" x14ac:dyDescent="0.35">
      <c r="A8" s="70"/>
      <c r="B8" s="67" t="s">
        <v>46</v>
      </c>
      <c r="C8" s="68">
        <v>43459</v>
      </c>
      <c r="D8" s="69">
        <f t="shared" si="0"/>
        <v>43459</v>
      </c>
    </row>
    <row r="9" spans="1:4" x14ac:dyDescent="0.35">
      <c r="A9" s="70"/>
      <c r="B9" s="67" t="s">
        <v>39</v>
      </c>
      <c r="C9" s="68">
        <v>43465</v>
      </c>
      <c r="D9" s="69">
        <f t="shared" si="0"/>
        <v>43465</v>
      </c>
    </row>
    <row r="10" spans="1:4" x14ac:dyDescent="0.35">
      <c r="A10" s="70"/>
      <c r="B10" s="67" t="s">
        <v>40</v>
      </c>
      <c r="C10" s="68"/>
      <c r="D10" s="69">
        <f t="shared" si="0"/>
        <v>0</v>
      </c>
    </row>
    <row r="11" spans="1:4" x14ac:dyDescent="0.35">
      <c r="A11" s="70"/>
      <c r="B11" s="67" t="s">
        <v>40</v>
      </c>
      <c r="C11" s="68"/>
      <c r="D11" s="69">
        <f t="shared" si="0"/>
        <v>0</v>
      </c>
    </row>
    <row r="12" spans="1:4" x14ac:dyDescent="0.35">
      <c r="A12" s="70"/>
      <c r="B12" s="67" t="s">
        <v>40</v>
      </c>
      <c r="C12" s="68"/>
      <c r="D12" s="69">
        <f t="shared" si="0"/>
        <v>0</v>
      </c>
    </row>
    <row r="17" spans="1:6" x14ac:dyDescent="0.35">
      <c r="F17" s="9"/>
    </row>
    <row r="19" spans="1:6" x14ac:dyDescent="0.35">
      <c r="A19" s="71" t="s">
        <v>47</v>
      </c>
      <c r="B19" s="65">
        <v>0.33333333333333331</v>
      </c>
      <c r="C19" s="65">
        <v>0.66666666666666663</v>
      </c>
    </row>
    <row r="20" spans="1:6" x14ac:dyDescent="0.35">
      <c r="A20" s="71" t="s">
        <v>64</v>
      </c>
      <c r="B20" s="65">
        <v>0.41666666666666669</v>
      </c>
      <c r="C20" s="65">
        <v>0.83333333333333337</v>
      </c>
    </row>
    <row r="22" spans="1:6" x14ac:dyDescent="0.35">
      <c r="A22" t="s">
        <v>116</v>
      </c>
      <c r="B22" s="15" t="s">
        <v>114</v>
      </c>
      <c r="C22" s="15" t="s">
        <v>115</v>
      </c>
    </row>
    <row r="23" spans="1:6" x14ac:dyDescent="0.35">
      <c r="A23" s="93" t="s">
        <v>70</v>
      </c>
      <c r="B23" s="94">
        <v>0.25</v>
      </c>
      <c r="C23" s="94">
        <v>0.75</v>
      </c>
    </row>
    <row r="24" spans="1:6" x14ac:dyDescent="0.35">
      <c r="A24" s="93" t="s">
        <v>71</v>
      </c>
      <c r="B24" s="94">
        <v>0.25</v>
      </c>
      <c r="C24" s="94">
        <v>0.75</v>
      </c>
    </row>
    <row r="25" spans="1:6" x14ac:dyDescent="0.35">
      <c r="A25" s="93">
        <v>16</v>
      </c>
      <c r="B25" s="94">
        <v>0.25</v>
      </c>
      <c r="C25" s="94">
        <v>0.75</v>
      </c>
    </row>
    <row r="26" spans="1:6" x14ac:dyDescent="0.35">
      <c r="A26" s="93" t="s">
        <v>72</v>
      </c>
      <c r="B26" s="94">
        <v>0.25</v>
      </c>
      <c r="C26" s="94">
        <v>0.75</v>
      </c>
    </row>
    <row r="27" spans="1:6" x14ac:dyDescent="0.35">
      <c r="A27" s="93" t="s">
        <v>73</v>
      </c>
      <c r="B27" s="94">
        <v>0.25</v>
      </c>
      <c r="C27" s="94">
        <v>0.75</v>
      </c>
    </row>
    <row r="28" spans="1:6" x14ac:dyDescent="0.35">
      <c r="A28" s="93" t="s">
        <v>74</v>
      </c>
      <c r="B28" s="94">
        <v>0.25</v>
      </c>
      <c r="C28" s="94">
        <v>0.75</v>
      </c>
    </row>
    <row r="29" spans="1:6" x14ac:dyDescent="0.35">
      <c r="A29" s="93" t="s">
        <v>75</v>
      </c>
      <c r="B29" s="94">
        <v>0.25</v>
      </c>
      <c r="C29" s="94">
        <v>0.75</v>
      </c>
    </row>
    <row r="30" spans="1:6" x14ac:dyDescent="0.35">
      <c r="A30" s="93" t="s">
        <v>76</v>
      </c>
      <c r="B30" s="94">
        <v>0.25</v>
      </c>
      <c r="C30" s="94">
        <v>0.75</v>
      </c>
    </row>
    <row r="31" spans="1:6" x14ac:dyDescent="0.35">
      <c r="A31" s="93" t="s">
        <v>77</v>
      </c>
      <c r="B31" s="94">
        <v>0.25</v>
      </c>
      <c r="C31" s="94">
        <v>0.75</v>
      </c>
    </row>
    <row r="32" spans="1:6" x14ac:dyDescent="0.35">
      <c r="A32" s="93" t="s">
        <v>78</v>
      </c>
      <c r="B32" s="94">
        <v>0.25</v>
      </c>
      <c r="C32" s="94">
        <v>0.75</v>
      </c>
    </row>
    <row r="33" spans="1:3" x14ac:dyDescent="0.35">
      <c r="A33" s="93" t="s">
        <v>79</v>
      </c>
      <c r="B33" s="94">
        <v>0.25</v>
      </c>
      <c r="C33" s="94">
        <v>0.75</v>
      </c>
    </row>
    <row r="34" spans="1:3" x14ac:dyDescent="0.35">
      <c r="A34" s="93" t="s">
        <v>80</v>
      </c>
      <c r="B34" s="94">
        <v>0.25</v>
      </c>
      <c r="C34" s="94">
        <v>0.75</v>
      </c>
    </row>
    <row r="35" spans="1:3" x14ac:dyDescent="0.35">
      <c r="A35" s="93" t="s">
        <v>81</v>
      </c>
      <c r="B35" s="94">
        <v>0.25</v>
      </c>
      <c r="C35" s="94">
        <v>0.75</v>
      </c>
    </row>
    <row r="36" spans="1:3" x14ac:dyDescent="0.35">
      <c r="A36" s="93" t="s">
        <v>82</v>
      </c>
      <c r="B36" s="94">
        <v>0.25</v>
      </c>
      <c r="C36" s="94">
        <v>0.75</v>
      </c>
    </row>
    <row r="37" spans="1:3" x14ac:dyDescent="0.35">
      <c r="A37" s="93" t="s">
        <v>83</v>
      </c>
      <c r="B37" s="94">
        <v>0.25</v>
      </c>
      <c r="C37" s="94">
        <v>0.75</v>
      </c>
    </row>
    <row r="38" spans="1:3" x14ac:dyDescent="0.35">
      <c r="A38" s="93" t="s">
        <v>84</v>
      </c>
      <c r="B38" s="94">
        <v>0.25</v>
      </c>
      <c r="C38" s="94">
        <v>0.75</v>
      </c>
    </row>
    <row r="39" spans="1:3" x14ac:dyDescent="0.35">
      <c r="A39" s="93" t="s">
        <v>85</v>
      </c>
      <c r="B39" s="94">
        <v>0.25</v>
      </c>
      <c r="C39" s="94">
        <v>0.75</v>
      </c>
    </row>
    <row r="40" spans="1:3" x14ac:dyDescent="0.35">
      <c r="A40" s="93" t="s">
        <v>86</v>
      </c>
      <c r="B40" s="94">
        <v>0.25</v>
      </c>
      <c r="C40" s="94">
        <v>0.75</v>
      </c>
    </row>
    <row r="41" spans="1:3" x14ac:dyDescent="0.35">
      <c r="A41" s="93" t="s">
        <v>87</v>
      </c>
      <c r="B41" s="94">
        <v>0.25</v>
      </c>
      <c r="C41" s="94">
        <v>0.75</v>
      </c>
    </row>
    <row r="42" spans="1:3" x14ac:dyDescent="0.35">
      <c r="A42" s="93" t="s">
        <v>88</v>
      </c>
      <c r="B42" s="94">
        <v>0.25</v>
      </c>
      <c r="C42" s="94">
        <v>0.75</v>
      </c>
    </row>
    <row r="43" spans="1:3" x14ac:dyDescent="0.35">
      <c r="A43" s="93" t="s">
        <v>89</v>
      </c>
      <c r="B43" s="94">
        <v>0.25</v>
      </c>
      <c r="C43" s="94">
        <v>0.75</v>
      </c>
    </row>
    <row r="44" spans="1:3" x14ac:dyDescent="0.35">
      <c r="A44" s="93" t="s">
        <v>90</v>
      </c>
      <c r="B44" s="94">
        <v>0.25</v>
      </c>
      <c r="C44" s="94">
        <v>0.75</v>
      </c>
    </row>
    <row r="45" spans="1:3" x14ac:dyDescent="0.35">
      <c r="A45" s="93" t="s">
        <v>91</v>
      </c>
      <c r="B45" s="94">
        <v>0.25</v>
      </c>
      <c r="C45" s="94">
        <v>0.75</v>
      </c>
    </row>
    <row r="46" spans="1:3" x14ac:dyDescent="0.35">
      <c r="A46" s="93" t="s">
        <v>92</v>
      </c>
      <c r="B46" s="94">
        <v>0.25</v>
      </c>
      <c r="C46" s="94">
        <v>0.75</v>
      </c>
    </row>
    <row r="47" spans="1:3" x14ac:dyDescent="0.35">
      <c r="A47" s="93" t="s">
        <v>93</v>
      </c>
      <c r="B47" s="94">
        <v>0.25</v>
      </c>
      <c r="C47" s="94">
        <v>0.75</v>
      </c>
    </row>
    <row r="48" spans="1:3" x14ac:dyDescent="0.35">
      <c r="A48" s="93" t="s">
        <v>94</v>
      </c>
      <c r="B48" s="94">
        <v>0.25</v>
      </c>
      <c r="C48" s="94">
        <v>0.75</v>
      </c>
    </row>
    <row r="49" spans="1:3" x14ac:dyDescent="0.35">
      <c r="A49" s="93" t="s">
        <v>95</v>
      </c>
      <c r="B49" s="94">
        <v>0.25</v>
      </c>
      <c r="C49" s="94">
        <v>0.75</v>
      </c>
    </row>
    <row r="50" spans="1:3" x14ac:dyDescent="0.35">
      <c r="A50" s="93" t="s">
        <v>96</v>
      </c>
      <c r="B50" s="94">
        <v>0.25</v>
      </c>
      <c r="C50" s="94">
        <v>0.75</v>
      </c>
    </row>
    <row r="51" spans="1:3" x14ac:dyDescent="0.35">
      <c r="A51" s="93" t="s">
        <v>97</v>
      </c>
      <c r="B51" s="94">
        <v>0.25</v>
      </c>
      <c r="C51" s="94">
        <v>0.75</v>
      </c>
    </row>
    <row r="52" spans="1:3" x14ac:dyDescent="0.35">
      <c r="A52" s="93" t="s">
        <v>98</v>
      </c>
      <c r="B52" s="94">
        <v>0.25</v>
      </c>
      <c r="C52" s="94">
        <v>0.75</v>
      </c>
    </row>
    <row r="53" spans="1:3" x14ac:dyDescent="0.35">
      <c r="A53" s="93" t="s">
        <v>99</v>
      </c>
      <c r="B53" s="94">
        <v>0.25</v>
      </c>
      <c r="C53" s="94">
        <v>0.75</v>
      </c>
    </row>
    <row r="54" spans="1:3" x14ac:dyDescent="0.35">
      <c r="A54" s="93" t="s">
        <v>100</v>
      </c>
      <c r="B54" s="94">
        <v>0.25</v>
      </c>
      <c r="C54" s="94">
        <v>0.75</v>
      </c>
    </row>
    <row r="55" spans="1:3" x14ac:dyDescent="0.35">
      <c r="A55" s="93" t="s">
        <v>101</v>
      </c>
      <c r="B55" s="94">
        <v>0.25</v>
      </c>
      <c r="C55" s="94">
        <v>0.75</v>
      </c>
    </row>
    <row r="56" spans="1:3" x14ac:dyDescent="0.35">
      <c r="A56" s="93" t="s">
        <v>102</v>
      </c>
      <c r="B56" s="94">
        <v>0.25</v>
      </c>
      <c r="C56" s="94">
        <v>0.75</v>
      </c>
    </row>
    <row r="57" spans="1:3" x14ac:dyDescent="0.35">
      <c r="A57" s="93" t="s">
        <v>103</v>
      </c>
      <c r="B57" s="94">
        <v>0.25</v>
      </c>
      <c r="C57" s="94">
        <v>0.75</v>
      </c>
    </row>
    <row r="58" spans="1:3" x14ac:dyDescent="0.35">
      <c r="A58" s="93" t="s">
        <v>104</v>
      </c>
      <c r="B58" s="94">
        <v>0.25</v>
      </c>
      <c r="C58" s="94">
        <v>0.75</v>
      </c>
    </row>
    <row r="59" spans="1:3" x14ac:dyDescent="0.35">
      <c r="A59" s="93" t="s">
        <v>105</v>
      </c>
      <c r="B59" s="94">
        <v>0.25</v>
      </c>
      <c r="C59" s="94">
        <v>0.75</v>
      </c>
    </row>
    <row r="60" spans="1:3" x14ac:dyDescent="0.35">
      <c r="A60" s="93" t="s">
        <v>106</v>
      </c>
      <c r="B60" s="94">
        <v>0.25</v>
      </c>
      <c r="C60" s="94">
        <v>0.75</v>
      </c>
    </row>
    <row r="61" spans="1:3" x14ac:dyDescent="0.35">
      <c r="A61" s="93" t="s">
        <v>107</v>
      </c>
      <c r="B61" s="94">
        <v>0.25</v>
      </c>
      <c r="C61" s="94">
        <v>0.75</v>
      </c>
    </row>
    <row r="62" spans="1:3" x14ac:dyDescent="0.35">
      <c r="A62" s="93" t="s">
        <v>108</v>
      </c>
      <c r="B62" s="94">
        <v>0.25</v>
      </c>
      <c r="C62" s="94">
        <v>0.75</v>
      </c>
    </row>
    <row r="63" spans="1:3" x14ac:dyDescent="0.35">
      <c r="A63" s="93" t="s">
        <v>109</v>
      </c>
      <c r="B63" s="94">
        <v>0.25</v>
      </c>
      <c r="C63" s="94">
        <v>0.75</v>
      </c>
    </row>
    <row r="64" spans="1:3" x14ac:dyDescent="0.35">
      <c r="A64" s="93" t="s">
        <v>110</v>
      </c>
      <c r="B64" s="94">
        <v>0.25</v>
      </c>
      <c r="C64" s="94">
        <v>0.75</v>
      </c>
    </row>
    <row r="65" spans="1:3" x14ac:dyDescent="0.35">
      <c r="A65" s="93" t="s">
        <v>111</v>
      </c>
      <c r="B65" s="94">
        <v>0.25</v>
      </c>
      <c r="C65" s="94">
        <v>0.75</v>
      </c>
    </row>
  </sheetData>
  <sheetProtection selectLockedCells="1" selectUnlockedCells="1"/>
  <pageMargins left="0.7" right="0.7" top="0.75" bottom="0.75" header="0.3" footer="0.3"/>
  <drawing r:id="rId1"/>
  <tableParts count="1">
    <tablePart r:id="rId2"/>
  </tableParts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A1:S60"/>
  <sheetViews>
    <sheetView tabSelected="1" workbookViewId="0">
      <selection activeCell="C15" sqref="C15:D16"/>
    </sheetView>
  </sheetViews>
  <sheetFormatPr baseColWidth="10" defaultRowHeight="14.5" x14ac:dyDescent="0.35"/>
  <cols>
    <col min="1" max="1" width="17.81640625" customWidth="1"/>
    <col min="2" max="2" width="13.81640625" customWidth="1"/>
    <col min="3" max="3" width="8.90625" customWidth="1"/>
    <col min="4" max="4" width="7.453125" customWidth="1"/>
    <col min="5" max="5" width="7" customWidth="1"/>
    <col min="6" max="6" width="6.81640625" customWidth="1"/>
    <col min="7" max="7" width="7" customWidth="1"/>
    <col min="8" max="8" width="7.81640625" customWidth="1"/>
    <col min="9" max="9" width="10.81640625" customWidth="1"/>
    <col min="10" max="10" width="11.1796875" style="15" bestFit="1" customWidth="1"/>
    <col min="11" max="11" width="14.453125" hidden="1" customWidth="1"/>
    <col min="12" max="12" width="12.08984375" hidden="1" customWidth="1"/>
    <col min="13" max="13" width="16.81640625" hidden="1" customWidth="1"/>
    <col min="14" max="15" width="17.6328125" hidden="1" customWidth="1"/>
    <col min="16" max="16" width="15" hidden="1" customWidth="1"/>
    <col min="17" max="17" width="17.81640625" hidden="1" customWidth="1"/>
    <col min="18" max="18" width="15" hidden="1" customWidth="1"/>
    <col min="19" max="19" width="18.08984375" hidden="1" customWidth="1"/>
  </cols>
  <sheetData>
    <row r="1" spans="1:19" ht="15.65" customHeight="1" x14ac:dyDescent="0.35">
      <c r="A1" s="101"/>
      <c r="B1" s="101"/>
      <c r="C1" s="16"/>
      <c r="D1" s="16"/>
      <c r="E1" s="17"/>
      <c r="F1" s="17"/>
      <c r="G1" s="17"/>
      <c r="H1" s="107" t="s">
        <v>112</v>
      </c>
      <c r="I1" s="107"/>
      <c r="J1" s="107"/>
      <c r="K1" s="16"/>
      <c r="L1" s="16"/>
      <c r="M1" s="16"/>
      <c r="N1" s="16"/>
      <c r="O1" s="19"/>
      <c r="P1" s="19"/>
      <c r="Q1" s="19"/>
      <c r="R1" s="19"/>
      <c r="S1" s="19"/>
    </row>
    <row r="2" spans="1:19" ht="14.4" customHeight="1" x14ac:dyDescent="0.35">
      <c r="A2" s="101"/>
      <c r="B2" s="101"/>
      <c r="C2" s="16"/>
      <c r="D2" s="16"/>
      <c r="E2" s="16"/>
      <c r="F2" s="16"/>
      <c r="G2" s="16"/>
      <c r="H2" s="16"/>
      <c r="I2" s="16"/>
      <c r="J2" s="20"/>
      <c r="K2" s="16"/>
      <c r="L2" s="16"/>
      <c r="M2" s="16"/>
      <c r="N2" s="16"/>
      <c r="O2" s="19"/>
      <c r="P2" s="19"/>
      <c r="Q2" s="19"/>
      <c r="R2" s="19"/>
      <c r="S2" s="19"/>
    </row>
    <row r="3" spans="1:19" ht="14.4" customHeight="1" x14ac:dyDescent="0.35">
      <c r="A3" s="102" t="s">
        <v>37</v>
      </c>
      <c r="B3" s="102"/>
      <c r="C3" s="102"/>
      <c r="D3" s="102"/>
      <c r="E3" s="102"/>
      <c r="F3" s="102"/>
      <c r="G3" s="102"/>
      <c r="H3" s="102"/>
      <c r="I3" s="102"/>
      <c r="J3" s="102"/>
      <c r="K3" s="16"/>
      <c r="L3" s="16"/>
      <c r="M3" s="16"/>
      <c r="N3" s="16"/>
      <c r="O3" s="19"/>
      <c r="P3" s="19"/>
      <c r="Q3" s="19"/>
      <c r="R3" s="19"/>
      <c r="S3" s="19"/>
    </row>
    <row r="4" spans="1:19" ht="19.25" customHeight="1" thickBot="1" x14ac:dyDescent="0.4">
      <c r="A4" s="103"/>
      <c r="B4" s="103"/>
      <c r="C4" s="103"/>
      <c r="D4" s="103"/>
      <c r="E4" s="103"/>
      <c r="F4" s="103"/>
      <c r="G4" s="103"/>
      <c r="H4" s="103"/>
      <c r="I4" s="103"/>
      <c r="J4" s="103"/>
      <c r="K4" s="19"/>
      <c r="L4" s="19"/>
      <c r="M4" s="19"/>
      <c r="N4" s="19"/>
      <c r="O4" s="19"/>
      <c r="P4" s="19"/>
      <c r="Q4" s="19"/>
      <c r="R4" s="19"/>
      <c r="S4" s="19"/>
    </row>
    <row r="5" spans="1:19" ht="19.75" customHeight="1" x14ac:dyDescent="0.35">
      <c r="A5" s="95" t="s">
        <v>49</v>
      </c>
      <c r="B5" s="99"/>
      <c r="C5" s="21" t="s">
        <v>36</v>
      </c>
      <c r="D5" s="104"/>
      <c r="E5" s="105"/>
      <c r="F5" s="105"/>
      <c r="G5" s="106" t="s">
        <v>22</v>
      </c>
      <c r="H5" s="106"/>
      <c r="I5" s="64" t="str">
        <f ca="1">MID(CELL("filename",A1),FIND("]",CELL("filename",A1))+1,99)</f>
        <v>Janvier 18</v>
      </c>
      <c r="J5" s="97"/>
      <c r="K5" s="19"/>
      <c r="L5" s="19"/>
      <c r="M5" s="19"/>
      <c r="N5" s="19"/>
      <c r="O5" s="19"/>
      <c r="P5" s="19"/>
      <c r="Q5" s="19"/>
      <c r="R5" s="19"/>
      <c r="S5" s="19"/>
    </row>
    <row r="6" spans="1:19" ht="9.65" customHeight="1" x14ac:dyDescent="0.35">
      <c r="A6" s="22"/>
      <c r="B6" s="23"/>
      <c r="C6" s="23"/>
      <c r="D6" s="23"/>
      <c r="E6" s="23"/>
      <c r="F6" s="23"/>
      <c r="G6" s="23"/>
      <c r="H6" s="23"/>
      <c r="I6" s="23"/>
      <c r="J6" s="24"/>
      <c r="K6" s="19"/>
      <c r="L6" s="19"/>
      <c r="M6" s="19"/>
      <c r="N6" s="19"/>
      <c r="O6" s="19"/>
      <c r="P6" s="19"/>
      <c r="Q6" s="19"/>
      <c r="R6" s="19"/>
      <c r="S6" s="19"/>
    </row>
    <row r="7" spans="1:19" ht="15" thickBot="1" x14ac:dyDescent="0.4">
      <c r="A7" s="59" t="s">
        <v>23</v>
      </c>
      <c r="B7" s="98"/>
      <c r="C7" s="25" t="s">
        <v>24</v>
      </c>
      <c r="D7" s="25"/>
      <c r="E7" s="98"/>
      <c r="F7" s="25"/>
      <c r="G7" s="25"/>
      <c r="H7" s="25"/>
      <c r="I7" s="25"/>
      <c r="J7" s="26"/>
      <c r="K7" s="19"/>
      <c r="L7" s="19"/>
      <c r="M7" s="19"/>
      <c r="N7" s="19"/>
      <c r="O7" s="19"/>
      <c r="P7" s="19"/>
      <c r="Q7" s="19"/>
      <c r="R7" s="19"/>
      <c r="S7" s="19"/>
    </row>
    <row r="8" spans="1:19" ht="9.65" customHeight="1" x14ac:dyDescent="0.35">
      <c r="A8" s="19"/>
      <c r="B8" s="19"/>
      <c r="C8" s="19"/>
      <c r="D8" s="19"/>
      <c r="E8" s="19"/>
      <c r="F8" s="19"/>
      <c r="G8" s="19"/>
      <c r="H8" s="19"/>
      <c r="I8" s="19"/>
      <c r="J8" s="20"/>
      <c r="K8" s="19"/>
      <c r="L8" s="19"/>
      <c r="M8" s="19"/>
      <c r="N8" s="19"/>
      <c r="O8" s="19"/>
      <c r="P8" s="19"/>
      <c r="Q8" s="19"/>
      <c r="R8" s="19"/>
      <c r="S8" s="19"/>
    </row>
    <row r="9" spans="1:19" ht="16.75" customHeight="1" x14ac:dyDescent="0.35">
      <c r="A9" s="111" t="s">
        <v>0</v>
      </c>
      <c r="B9" s="111" t="s">
        <v>1</v>
      </c>
      <c r="C9" s="111" t="s">
        <v>2</v>
      </c>
      <c r="D9" s="111"/>
      <c r="E9" s="110" t="s">
        <v>25</v>
      </c>
      <c r="F9" s="110"/>
      <c r="G9" s="110"/>
      <c r="H9" s="110"/>
      <c r="I9" s="112" t="s">
        <v>21</v>
      </c>
      <c r="J9" s="108" t="s">
        <v>65</v>
      </c>
      <c r="K9" s="19"/>
      <c r="L9" s="19"/>
      <c r="M9" s="19"/>
      <c r="N9" s="19"/>
      <c r="O9" s="19"/>
      <c r="P9" s="19"/>
      <c r="Q9" s="19"/>
      <c r="R9" s="19"/>
      <c r="S9" s="19"/>
    </row>
    <row r="10" spans="1:19" x14ac:dyDescent="0.35">
      <c r="A10" s="111"/>
      <c r="B10" s="111"/>
      <c r="C10" s="109" t="s">
        <v>3</v>
      </c>
      <c r="D10" s="109" t="s">
        <v>4</v>
      </c>
      <c r="E10" s="110" t="s">
        <v>26</v>
      </c>
      <c r="F10" s="110"/>
      <c r="G10" s="110" t="s">
        <v>27</v>
      </c>
      <c r="H10" s="110"/>
      <c r="I10" s="112"/>
      <c r="J10" s="108"/>
      <c r="K10" s="19"/>
      <c r="L10" s="19"/>
      <c r="M10" s="19"/>
      <c r="N10" s="19"/>
      <c r="O10" s="19"/>
      <c r="P10" s="19"/>
      <c r="Q10" s="19"/>
      <c r="R10" s="19"/>
      <c r="S10" s="19"/>
    </row>
    <row r="11" spans="1:19" x14ac:dyDescent="0.35">
      <c r="A11" s="111"/>
      <c r="B11" s="111"/>
      <c r="C11" s="109"/>
      <c r="D11" s="109"/>
      <c r="E11" s="72" t="s">
        <v>28</v>
      </c>
      <c r="F11" s="72" t="s">
        <v>4</v>
      </c>
      <c r="G11" s="72" t="s">
        <v>28</v>
      </c>
      <c r="H11" s="72" t="s">
        <v>4</v>
      </c>
      <c r="I11" s="112"/>
      <c r="J11" s="108"/>
      <c r="K11" s="27"/>
      <c r="L11" s="19"/>
      <c r="M11" s="19"/>
      <c r="N11" s="19"/>
      <c r="O11" s="19"/>
      <c r="P11" s="19"/>
      <c r="Q11" s="19"/>
      <c r="R11" s="19"/>
      <c r="S11" s="19"/>
    </row>
    <row r="12" spans="1:19" s="8" customFormat="1" ht="43.5" hidden="1" x14ac:dyDescent="0.35">
      <c r="A12" s="28" t="s">
        <v>0</v>
      </c>
      <c r="B12" s="29" t="s">
        <v>1</v>
      </c>
      <c r="C12" s="29" t="s">
        <v>3</v>
      </c>
      <c r="D12" s="29" t="s">
        <v>4</v>
      </c>
      <c r="E12" s="29" t="s">
        <v>8</v>
      </c>
      <c r="F12" s="29" t="s">
        <v>9</v>
      </c>
      <c r="G12" s="29" t="s">
        <v>10</v>
      </c>
      <c r="H12" s="29" t="s">
        <v>11</v>
      </c>
      <c r="I12" s="29" t="s">
        <v>21</v>
      </c>
      <c r="J12" s="29" t="s">
        <v>12</v>
      </c>
      <c r="K12" s="29" t="s">
        <v>18</v>
      </c>
      <c r="L12" s="29" t="s">
        <v>19</v>
      </c>
      <c r="M12" s="29" t="s">
        <v>17</v>
      </c>
      <c r="N12" s="29" t="s">
        <v>32</v>
      </c>
      <c r="O12" s="29" t="s">
        <v>20</v>
      </c>
      <c r="P12" s="29" t="s">
        <v>5</v>
      </c>
      <c r="Q12" s="29" t="s">
        <v>33</v>
      </c>
      <c r="R12" s="31" t="s">
        <v>6</v>
      </c>
      <c r="S12" s="31" t="s">
        <v>34</v>
      </c>
    </row>
    <row r="13" spans="1:19" x14ac:dyDescent="0.35">
      <c r="A13" s="5"/>
      <c r="B13" s="1"/>
      <c r="C13" s="2"/>
      <c r="D13" s="2"/>
      <c r="E13" s="3"/>
      <c r="F13" s="3"/>
      <c r="G13" s="3"/>
      <c r="H13" s="3"/>
      <c r="I13" s="51">
        <f>0.1*(Horaires356[[#This Row],[Heures de nuit]]+Horaires356[[#This Row],[heures jour dimanche]]+Horaires356[[#This Row],[heures jour fériés]])</f>
        <v>0</v>
      </c>
      <c r="J13" s="52">
        <f>(MOD(Horaires356[[#This Row],[Fin]]-Horaires356[[#This Row],[début]],1)-MOD(Horaires356[[#This Row],[PNP Fin]]-Horaires356[[#This Row],[PNP Début]],1))*24</f>
        <v>0</v>
      </c>
      <c r="K13" s="34">
        <f>IF(Horaires356[[#This Row],[PNP Début]]=0,0,IF(Horaires356[[#This Row],[PNP Début]]&lt;Horaires356[[#This Row],[début]],1,0)+Horaires356[[#This Row],[PNP Début]])</f>
        <v>0</v>
      </c>
      <c r="L13" s="34">
        <f>IF(Horaires356[[#This Row],[PNP Fin]]=0,0,IF(Horaires356[[#This Row],[PNP Fin]]&lt;Horaires356[[#This Row],[début]],1,0)+Horaires356[[#This Row],[PNP Fin]])</f>
        <v>0</v>
      </c>
      <c r="M13" s="34">
        <f>IF(Horaires356[[#This Row],[Fin]]&lt;Horaires356[[#This Row],[début]],1,0)+Horaires356[[#This Row],[Fin]]</f>
        <v>0</v>
      </c>
      <c r="N13" s="35">
        <f>IF(Horaires356[[#This Row],[Fin]]&lt;Horaires356[[#This Row],[début]],MAX(0,MIN(Horaires356[[#This Row],[Fin corrigée si nuit]],fin_nuit)-MAX(Horaires356[[#This Row],[début]],deb_nuit))*24,(MAX(deb_nuit,Horaires356[[#This Row],[Fin]])-MAX(deb_nuit,Horaires356[[#This Row],[début]])+MAX(MIN(fin_nuit-1,Horaires356[[#This Row],[Fin]])-MIN(fin_nuit-1,Horaires356[[#This Row],[début]]),0))*24)</f>
        <v>0</v>
      </c>
      <c r="O13" s="35">
        <f>(MAX(0,MIN(Horaires356[[#This Row],[Fin corrigée si nuit]],fin_nuit)-MAX(Horaires356[[#This Row],[début]],deb_nuit))-IF(Horaires356[[#This Row],[PNP Début]]=0,0,MIN(Horaires356[[#This Row],[PNP Fin corrigée]],fin_nuit)-MAX(Horaires356[[#This Row],[PNP Début corrigé]],deb_nuit)))*24</f>
        <v>0</v>
      </c>
      <c r="P13" s="35">
        <f>(IF(WEEKDAY(Horaires356[[#This Row],[Date]],2)=7,MAX(0,MIN(fin_dimJF,Horaires356[[#This Row],[Fin corrigée si nuit]])-MAX(deb_dimJF,Horaires356[[#This Row],[début]])),0)+IF(WEEKDAY(Horaires356[[#This Row],[Date]],2)=6,MAX(0,Horaires356[[#This Row],[Fin corrigée si nuit]]-(1+deb_dimJF)),0))*24</f>
        <v>0</v>
      </c>
      <c r="Q13" s="35">
        <f>(IF(WEEKDAY(Horaires356[[#This Row],[Date]],2)=7,MAX(0,MIN(fin_dimJF,Horaires356[[#This Row],[Fin corrigée si nuit]])-MAX(deb_dimJF,Horaires356[[#This Row],[début]])),0)+IF(WEEKDAY(Horaires356[[#This Row],[Date]],2)=6,MAX(0,Horaires356[[#This Row],[Fin corrigée si nuit]]-(1+deb_dimJF)),0))*24-
(IF(WEEKDAY(Horaires356[[#This Row],[Date]],2)=7,MAX(0,MIN(fin_dimJF,Horaires356[[#This Row],[PNP Fin corrigée]])-MAX(deb_dimJF,Horaires356[[#This Row],[PNP Début corrigé]])),0)+IF(WEEKDAY(Horaires356[[#This Row],[Date]],2)=6,MAX(0,Horaires356[[#This Row],[PNP Fin corrigée]]-(1+deb_dimJF)),0))*24</f>
        <v>0</v>
      </c>
      <c r="R13" s="36">
        <f>(IF(COUNTIF(JF,Horaires356[[#This Row],[Date]]),MAX(0,MIN(fin_dimJF,Horaires356[[#This Row],[Fin corrigée si nuit]])-MAX(deb_dimJF,Horaires356[[#This Row],[début]])),0)+IF(COUNTIF(JF,Horaires356[[#This Row],[Date]]+1),MAX(0,Horaires356[[#This Row],[Fin corrigée si nuit]]-(1+deb_dimJF)),0))*24</f>
        <v>0</v>
      </c>
      <c r="S13" s="36">
        <f>(IF(COUNTIF(JF,Horaires356[[#This Row],[Date]]),MAX(0,MIN(fin_dimJF,Horaires356[[#This Row],[Fin corrigée si nuit]])-MAX(deb_dimJF,Horaires356[[#This Row],[début]])),0)+IF(COUNTIF(JF,Horaires356[[#This Row],[Date]]+1),MAX(0,Horaires356[[#This Row],[Fin corrigée si nuit]]-(1+deb_dimJF)),0))*24-
(IF(COUNTIF(JF,Horaires356[[#This Row],[Date]]),MAX(0,MIN(fin_dimJF,Horaires356[[#This Row],[PNP Fin corrigée]])-MAX(deb_dimJF,Horaires356[[#This Row],[PNP Début corrigé]])),0)+IF(COUNTIF(JF,Horaires356[[#This Row],[Date]]+1),MAX(0,Horaires356[[#This Row],[PNP Fin corrigée]]-(1+deb_dimJF)),0))*24</f>
        <v>0</v>
      </c>
    </row>
    <row r="14" spans="1:19" x14ac:dyDescent="0.35">
      <c r="A14" s="5"/>
      <c r="B14" s="1"/>
      <c r="C14" s="2"/>
      <c r="D14" s="2"/>
      <c r="E14" s="3"/>
      <c r="F14" s="3"/>
      <c r="G14" s="3"/>
      <c r="H14" s="3"/>
      <c r="I14" s="51">
        <f>0.1*(Horaires356[[#This Row],[Heures de nuit]]+Horaires356[[#This Row],[heures jour dimanche]]+Horaires356[[#This Row],[heures jour fériés]])</f>
        <v>0</v>
      </c>
      <c r="J14" s="52">
        <f>(MOD(Horaires356[[#This Row],[Fin]]-Horaires356[[#This Row],[début]],1)-MOD(Horaires356[[#This Row],[PNP Fin]]-Horaires356[[#This Row],[PNP Début]],1))*24</f>
        <v>0</v>
      </c>
      <c r="K14" s="34">
        <f>IF(Horaires356[[#This Row],[PNP Début]]=0,0,IF(Horaires356[[#This Row],[PNP Début]]&lt;Horaires356[[#This Row],[début]],1,0)+Horaires356[[#This Row],[PNP Début]])</f>
        <v>0</v>
      </c>
      <c r="L14" s="34">
        <f>IF(Horaires356[[#This Row],[PNP Fin]]=0,0,IF(Horaires356[[#This Row],[PNP Fin]]&lt;Horaires356[[#This Row],[début]],1,0)+Horaires356[[#This Row],[PNP Fin]])</f>
        <v>0</v>
      </c>
      <c r="M14" s="34">
        <f>IF(Horaires356[[#This Row],[Fin]]&lt;Horaires356[[#This Row],[début]],1,0)+Horaires356[[#This Row],[Fin]]</f>
        <v>0</v>
      </c>
      <c r="N14" s="35">
        <f>IF(Horaires356[[#This Row],[Fin]]&lt;Horaires356[[#This Row],[début]],MAX(0,MIN(Horaires356[[#This Row],[Fin corrigée si nuit]],fin_nuit)-MAX(Horaires356[[#This Row],[début]],deb_nuit))*24,(MAX(deb_nuit,Horaires356[[#This Row],[Fin]])-MAX(deb_nuit,Horaires356[[#This Row],[début]])+MAX(MIN(fin_nuit-1,Horaires356[[#This Row],[Fin]])-MIN(fin_nuit-1,Horaires356[[#This Row],[début]]),0))*24)</f>
        <v>0</v>
      </c>
      <c r="O14" s="35">
        <f>(MAX(0,MIN(Horaires356[[#This Row],[Fin corrigée si nuit]],fin_nuit)-MAX(Horaires356[[#This Row],[début]],deb_nuit))-IF(Horaires356[[#This Row],[PNP Début]]=0,0,MIN(Horaires356[[#This Row],[PNP Fin corrigée]],fin_nuit)-MAX(Horaires356[[#This Row],[PNP Début corrigé]],deb_nuit)))*24</f>
        <v>0</v>
      </c>
      <c r="P14" s="35">
        <f>(IF(WEEKDAY(Horaires356[[#This Row],[Date]],2)=7,MAX(0,MIN(fin_dimJF,Horaires356[[#This Row],[Fin corrigée si nuit]])-MAX(deb_dimJF,Horaires356[[#This Row],[début]])),0)+IF(WEEKDAY(Horaires356[[#This Row],[Date]],2)=6,MAX(0,Horaires356[[#This Row],[Fin corrigée si nuit]]-(1+deb_dimJF)),0))*24</f>
        <v>0</v>
      </c>
      <c r="Q14" s="35">
        <f>(IF(WEEKDAY(Horaires356[[#This Row],[Date]],2)=7,MAX(0,MIN(fin_dimJF,Horaires356[[#This Row],[Fin corrigée si nuit]])-MAX(deb_dimJF,Horaires356[[#This Row],[début]])),0)+IF(WEEKDAY(Horaires356[[#This Row],[Date]],2)=6,MAX(0,Horaires356[[#This Row],[Fin corrigée si nuit]]-(1+deb_dimJF)),0))*24-
(IF(WEEKDAY(Horaires356[[#This Row],[Date]],2)=7,MAX(0,MIN(fin_dimJF,Horaires356[[#This Row],[PNP Fin corrigée]])-MAX(deb_dimJF,Horaires356[[#This Row],[PNP Début corrigé]])),0)+IF(WEEKDAY(Horaires356[[#This Row],[Date]],2)=6,MAX(0,Horaires356[[#This Row],[PNP Fin corrigée]]-(1+deb_dimJF)),0))*24</f>
        <v>0</v>
      </c>
      <c r="R14" s="36">
        <f>(IF(COUNTIF(JF,Horaires356[[#This Row],[Date]]),MAX(0,MIN(fin_dimJF,Horaires356[[#This Row],[Fin corrigée si nuit]])-MAX(deb_dimJF,Horaires356[[#This Row],[début]])),0)+IF(COUNTIF(JF,Horaires356[[#This Row],[Date]]+1),MAX(0,Horaires356[[#This Row],[Fin corrigée si nuit]]-(1+deb_dimJF)),0))*24</f>
        <v>0</v>
      </c>
      <c r="S14" s="36">
        <f>(IF(COUNTIF(JF,Horaires356[[#This Row],[Date]]),MAX(0,MIN(fin_dimJF,Horaires356[[#This Row],[Fin corrigée si nuit]])-MAX(deb_dimJF,Horaires356[[#This Row],[début]])),0)+IF(COUNTIF(JF,Horaires356[[#This Row],[Date]]+1),MAX(0,Horaires356[[#This Row],[Fin corrigée si nuit]]-(1+deb_dimJF)),0))*24-
(IF(COUNTIF(JF,Horaires356[[#This Row],[Date]]),MAX(0,MIN(fin_dimJF,Horaires356[[#This Row],[PNP Fin corrigée]])-MAX(deb_dimJF,Horaires356[[#This Row],[PNP Début corrigé]])),0)+IF(COUNTIF(JF,Horaires356[[#This Row],[Date]]+1),MAX(0,Horaires356[[#This Row],[PNP Fin corrigée]]-(1+deb_dimJF)),0))*24</f>
        <v>0</v>
      </c>
    </row>
    <row r="15" spans="1:19" x14ac:dyDescent="0.35">
      <c r="A15" s="5"/>
      <c r="B15" s="1"/>
      <c r="C15" s="2"/>
      <c r="D15" s="2"/>
      <c r="E15" s="3"/>
      <c r="F15" s="3"/>
      <c r="G15" s="3"/>
      <c r="H15" s="3"/>
      <c r="I15" s="51">
        <f>0.1*(Horaires356[[#This Row],[Heures de nuit]]+Horaires356[[#This Row],[heures jour dimanche]]+Horaires356[[#This Row],[heures jour fériés]])</f>
        <v>0</v>
      </c>
      <c r="J15" s="52">
        <f>(MOD(Horaires356[[#This Row],[Fin]]-Horaires356[[#This Row],[début]],1)-MOD(Horaires356[[#This Row],[PNP Fin]]-Horaires356[[#This Row],[PNP Début]],1))*24</f>
        <v>0</v>
      </c>
      <c r="K15" s="34">
        <f>IF(Horaires356[[#This Row],[PNP Début]]=0,0,IF(Horaires356[[#This Row],[PNP Début]]&lt;Horaires356[[#This Row],[début]],1,0)+Horaires356[[#This Row],[PNP Début]])</f>
        <v>0</v>
      </c>
      <c r="L15" s="34">
        <f>IF(Horaires356[[#This Row],[PNP Fin]]=0,0,IF(Horaires356[[#This Row],[PNP Fin]]&lt;Horaires356[[#This Row],[début]],1,0)+Horaires356[[#This Row],[PNP Fin]])</f>
        <v>0</v>
      </c>
      <c r="M15" s="34">
        <f>IF(Horaires356[[#This Row],[Fin]]&lt;Horaires356[[#This Row],[début]],1,0)+Horaires356[[#This Row],[Fin]]</f>
        <v>0</v>
      </c>
      <c r="N15" s="35">
        <f>IF(Horaires356[[#This Row],[Fin]]&lt;Horaires356[[#This Row],[début]],MAX(0,MIN(Horaires356[[#This Row],[Fin corrigée si nuit]],fin_nuit)-MAX(Horaires356[[#This Row],[début]],deb_nuit))*24,(MAX(deb_nuit,Horaires356[[#This Row],[Fin]])-MAX(deb_nuit,Horaires356[[#This Row],[début]])+MAX(MIN(fin_nuit-1,Horaires356[[#This Row],[Fin]])-MIN(fin_nuit-1,Horaires356[[#This Row],[début]]),0))*24)</f>
        <v>0</v>
      </c>
      <c r="O15" s="35">
        <f>(MAX(0,MIN(Horaires356[[#This Row],[Fin corrigée si nuit]],fin_nuit)-MAX(Horaires356[[#This Row],[début]],deb_nuit))-IF(Horaires356[[#This Row],[PNP Début]]=0,0,MIN(Horaires356[[#This Row],[PNP Fin corrigée]],fin_nuit)-MAX(Horaires356[[#This Row],[PNP Début corrigé]],deb_nuit)))*24</f>
        <v>0</v>
      </c>
      <c r="P15" s="35">
        <f>(IF(WEEKDAY(Horaires356[[#This Row],[Date]],2)=7,MAX(0,MIN(fin_dimJF,Horaires356[[#This Row],[Fin corrigée si nuit]])-MAX(deb_dimJF,Horaires356[[#This Row],[début]])),0)+IF(WEEKDAY(Horaires356[[#This Row],[Date]],2)=6,MAX(0,Horaires356[[#This Row],[Fin corrigée si nuit]]-(1+deb_dimJF)),0))*24</f>
        <v>0</v>
      </c>
      <c r="Q15" s="35">
        <f>(IF(WEEKDAY(Horaires356[[#This Row],[Date]],2)=7,MAX(0,MIN(fin_dimJF,Horaires356[[#This Row],[Fin corrigée si nuit]])-MAX(deb_dimJF,Horaires356[[#This Row],[début]])),0)+IF(WEEKDAY(Horaires356[[#This Row],[Date]],2)=6,MAX(0,Horaires356[[#This Row],[Fin corrigée si nuit]]-(1+deb_dimJF)),0))*24-
(IF(WEEKDAY(Horaires356[[#This Row],[Date]],2)=7,MAX(0,MIN(fin_dimJF,Horaires356[[#This Row],[PNP Fin corrigée]])-MAX(deb_dimJF,Horaires356[[#This Row],[PNP Début corrigé]])),0)+IF(WEEKDAY(Horaires356[[#This Row],[Date]],2)=6,MAX(0,Horaires356[[#This Row],[PNP Fin corrigée]]-(1+deb_dimJF)),0))*24</f>
        <v>0</v>
      </c>
      <c r="R15" s="36">
        <f>(IF(COUNTIF(JF,Horaires356[[#This Row],[Date]]),MAX(0,MIN(fin_dimJF,Horaires356[[#This Row],[Fin corrigée si nuit]])-MAX(deb_dimJF,Horaires356[[#This Row],[début]])),0)+IF(COUNTIF(JF,Horaires356[[#This Row],[Date]]+1),MAX(0,Horaires356[[#This Row],[Fin corrigée si nuit]]-(1+deb_dimJF)),0))*24</f>
        <v>0</v>
      </c>
      <c r="S15" s="36">
        <f>(IF(COUNTIF(JF,Horaires356[[#This Row],[Date]]),MAX(0,MIN(fin_dimJF,Horaires356[[#This Row],[Fin corrigée si nuit]])-MAX(deb_dimJF,Horaires356[[#This Row],[début]])),0)+IF(COUNTIF(JF,Horaires356[[#This Row],[Date]]+1),MAX(0,Horaires356[[#This Row],[Fin corrigée si nuit]]-(1+deb_dimJF)),0))*24-
(IF(COUNTIF(JF,Horaires356[[#This Row],[Date]]),MAX(0,MIN(fin_dimJF,Horaires356[[#This Row],[PNP Fin corrigée]])-MAX(deb_dimJF,Horaires356[[#This Row],[PNP Début corrigé]])),0)+IF(COUNTIF(JF,Horaires356[[#This Row],[Date]]+1),MAX(0,Horaires356[[#This Row],[PNP Fin corrigée]]-(1+deb_dimJF)),0))*24</f>
        <v>0</v>
      </c>
    </row>
    <row r="16" spans="1:19" x14ac:dyDescent="0.35">
      <c r="A16" s="5"/>
      <c r="B16" s="1"/>
      <c r="C16" s="2"/>
      <c r="D16" s="2"/>
      <c r="E16" s="3"/>
      <c r="F16" s="3"/>
      <c r="G16" s="3"/>
      <c r="H16" s="3"/>
      <c r="I16" s="51">
        <f>0.1*(Horaires356[[#This Row],[Heures de nuit]]+Horaires356[[#This Row],[heures jour dimanche]]+Horaires356[[#This Row],[heures jour fériés]])</f>
        <v>0</v>
      </c>
      <c r="J16" s="52">
        <f>(MOD(Horaires356[[#This Row],[Fin]]-Horaires356[[#This Row],[début]],1)-MOD(Horaires356[[#This Row],[PNP Fin]]-Horaires356[[#This Row],[PNP Début]],1))*24</f>
        <v>0</v>
      </c>
      <c r="K16" s="34">
        <f>IF(Horaires356[[#This Row],[PNP Début]]=0,0,IF(Horaires356[[#This Row],[PNP Début]]&lt;Horaires356[[#This Row],[début]],1,0)+Horaires356[[#This Row],[PNP Début]])</f>
        <v>0</v>
      </c>
      <c r="L16" s="34">
        <f>IF(Horaires356[[#This Row],[PNP Fin]]=0,0,IF(Horaires356[[#This Row],[PNP Fin]]&lt;Horaires356[[#This Row],[début]],1,0)+Horaires356[[#This Row],[PNP Fin]])</f>
        <v>0</v>
      </c>
      <c r="M16" s="38">
        <f>IF(Horaires356[[#This Row],[Fin]]&lt;Horaires356[[#This Row],[début]],1,0)+Horaires356[[#This Row],[Fin]]</f>
        <v>0</v>
      </c>
      <c r="N16" s="35">
        <f>IF(Horaires356[[#This Row],[Fin]]&lt;Horaires356[[#This Row],[début]],MAX(0,MIN(Horaires356[[#This Row],[Fin corrigée si nuit]],fin_nuit)-MAX(Horaires356[[#This Row],[début]],deb_nuit))*24,(MAX(deb_nuit,Horaires356[[#This Row],[Fin]])-MAX(deb_nuit,Horaires356[[#This Row],[début]])+MAX(MIN(fin_nuit-1,Horaires356[[#This Row],[Fin]])-MIN(fin_nuit-1,Horaires356[[#This Row],[début]]),0))*24)</f>
        <v>0</v>
      </c>
      <c r="O16" s="39">
        <f>(MAX(0,MIN(Horaires356[[#This Row],[Fin corrigée si nuit]],fin_nuit)-MAX(Horaires356[[#This Row],[début]],deb_nuit))-IF(Horaires356[[#This Row],[PNP Début]]=0,0,MIN(Horaires356[[#This Row],[PNP Fin corrigée]],fin_nuit)-MAX(Horaires356[[#This Row],[PNP Début corrigé]],deb_nuit)))*24</f>
        <v>0</v>
      </c>
      <c r="P16" s="39">
        <f>(IF(WEEKDAY(Horaires356[[#This Row],[Date]],2)=7,MAX(0,MIN(fin_dimJF,Horaires356[[#This Row],[Fin corrigée si nuit]])-MAX(deb_dimJF,Horaires356[[#This Row],[début]])),0)+IF(WEEKDAY(Horaires356[[#This Row],[Date]],2)=6,MAX(0,Horaires356[[#This Row],[Fin corrigée si nuit]]-(1+deb_dimJF)),0))*24</f>
        <v>0</v>
      </c>
      <c r="Q16" s="35">
        <f>(IF(WEEKDAY(Horaires356[[#This Row],[Date]],2)=7,MAX(0,MIN(fin_dimJF,Horaires356[[#This Row],[Fin corrigée si nuit]])-MAX(deb_dimJF,Horaires356[[#This Row],[début]])),0)+IF(WEEKDAY(Horaires356[[#This Row],[Date]],2)=6,MAX(0,Horaires356[[#This Row],[Fin corrigée si nuit]]-(1+deb_dimJF)),0))*24-
(IF(WEEKDAY(Horaires356[[#This Row],[Date]],2)=7,MAX(0,MIN(fin_dimJF,Horaires356[[#This Row],[PNP Fin corrigée]])-MAX(deb_dimJF,Horaires356[[#This Row],[PNP Début corrigé]])),0)+IF(WEEKDAY(Horaires356[[#This Row],[Date]],2)=6,MAX(0,Horaires356[[#This Row],[PNP Fin corrigée]]-(1+deb_dimJF)),0))*24</f>
        <v>0</v>
      </c>
      <c r="R16" s="40">
        <f>(IF(COUNTIF(JF,Horaires356[[#This Row],[Date]]),MAX(0,MIN(fin_dimJF,Horaires356[[#This Row],[Fin corrigée si nuit]])-MAX(deb_dimJF,Horaires356[[#This Row],[début]])),0)+IF(COUNTIF(JF,Horaires356[[#This Row],[Date]]+1),MAX(0,Horaires356[[#This Row],[Fin corrigée si nuit]]-(1+deb_dimJF)),0))*24</f>
        <v>0</v>
      </c>
      <c r="S16" s="40">
        <f>(IF(COUNTIF(JF,Horaires356[[#This Row],[Date]]),MAX(0,MIN(fin_dimJF,Horaires356[[#This Row],[Fin corrigée si nuit]])-MAX(deb_dimJF,Horaires356[[#This Row],[début]])),0)+IF(COUNTIF(JF,Horaires356[[#This Row],[Date]]+1),MAX(0,Horaires356[[#This Row],[Fin corrigée si nuit]]-(1+deb_dimJF)),0))*24-
(IF(COUNTIF(JF,Horaires356[[#This Row],[Date]]),MAX(0,MIN(fin_dimJF,Horaires356[[#This Row],[PNP Fin corrigée]])-MAX(deb_dimJF,Horaires356[[#This Row],[PNP Début corrigé]])),0)+IF(COUNTIF(JF,Horaires356[[#This Row],[Date]]+1),MAX(0,Horaires356[[#This Row],[PNP Fin corrigée]]-(1+deb_dimJF)),0))*24</f>
        <v>0</v>
      </c>
    </row>
    <row r="17" spans="1:19" x14ac:dyDescent="0.35">
      <c r="A17" s="5"/>
      <c r="B17" s="1"/>
      <c r="C17" s="2"/>
      <c r="D17" s="2"/>
      <c r="E17" s="3"/>
      <c r="F17" s="3"/>
      <c r="G17" s="3"/>
      <c r="H17" s="3"/>
      <c r="I17" s="51">
        <f>0.1*(Horaires356[[#This Row],[Heures de nuit]]+Horaires356[[#This Row],[heures jour dimanche]]+Horaires356[[#This Row],[heures jour fériés]])</f>
        <v>0</v>
      </c>
      <c r="J17" s="52">
        <f>(MOD(Horaires356[[#This Row],[Fin]]-Horaires356[[#This Row],[début]],1)-MOD(Horaires356[[#This Row],[PNP Fin]]-Horaires356[[#This Row],[PNP Début]],1))*24</f>
        <v>0</v>
      </c>
      <c r="K17" s="43">
        <f>IF(Horaires356[[#This Row],[PNP Début]]=0,0,IF(Horaires356[[#This Row],[PNP Début]]&lt;Horaires356[[#This Row],[début]],1,0)+Horaires356[[#This Row],[PNP Début]])</f>
        <v>0</v>
      </c>
      <c r="L17" s="44">
        <f>IF(Horaires356[[#This Row],[PNP Fin]]=0,0,IF(Horaires356[[#This Row],[PNP Fin]]&lt;Horaires356[[#This Row],[début]],1,0)+Horaires356[[#This Row],[PNP Fin]])</f>
        <v>0</v>
      </c>
      <c r="M17" s="44">
        <f>IF(Horaires356[[#This Row],[Fin]]&lt;Horaires356[[#This Row],[début]],1,0)+Horaires356[[#This Row],[Fin]]</f>
        <v>0</v>
      </c>
      <c r="N17" s="35">
        <f>IF(Horaires356[[#This Row],[Fin]]&lt;Horaires356[[#This Row],[début]],MAX(0,MIN(Horaires356[[#This Row],[Fin corrigée si nuit]],fin_nuit)-MAX(Horaires356[[#This Row],[début]],deb_nuit))*24,(MAX(deb_nuit,Horaires356[[#This Row],[Fin]])-MAX(deb_nuit,Horaires356[[#This Row],[début]])+MAX(MIN(fin_nuit-1,Horaires356[[#This Row],[Fin]])-MIN(fin_nuit-1,Horaires356[[#This Row],[début]]),0))*24)</f>
        <v>0</v>
      </c>
      <c r="O17" s="45">
        <f>(MAX(0,MIN(Horaires356[[#This Row],[Fin corrigée si nuit]],fin_nuit)-MAX(Horaires356[[#This Row],[début]],deb_nuit))-IF(Horaires356[[#This Row],[PNP Début]]=0,0,MIN(Horaires356[[#This Row],[PNP Fin corrigée]],fin_nuit)-MAX(Horaires356[[#This Row],[PNP Début corrigé]],deb_nuit)))*24</f>
        <v>0</v>
      </c>
      <c r="P17" s="45">
        <f>(IF(WEEKDAY(Horaires356[[#This Row],[Date]],2)=7,MAX(0,MIN(fin_dimJF,Horaires356[[#This Row],[Fin corrigée si nuit]])-MAX(deb_dimJF,Horaires356[[#This Row],[début]])),0)+IF(WEEKDAY(Horaires356[[#This Row],[Date]],2)=6,MAX(0,Horaires356[[#This Row],[Fin corrigée si nuit]]-(1+deb_dimJF)),0))*24</f>
        <v>0</v>
      </c>
      <c r="Q17" s="45">
        <f>(IF(WEEKDAY(Horaires356[[#This Row],[Date]],2)=7,MAX(0,MIN(fin_dimJF,Horaires356[[#This Row],[Fin corrigée si nuit]])-MAX(deb_dimJF,Horaires356[[#This Row],[début]])),0)+IF(WEEKDAY(Horaires356[[#This Row],[Date]],2)=6,MAX(0,Horaires356[[#This Row],[Fin corrigée si nuit]]-(1+deb_dimJF)),0))*24-
(IF(WEEKDAY(Horaires356[[#This Row],[Date]],2)=7,MAX(0,MIN(fin_dimJF,Horaires356[[#This Row],[PNP Fin corrigée]])-MAX(deb_dimJF,Horaires356[[#This Row],[PNP Début corrigé]])),0)+IF(WEEKDAY(Horaires356[[#This Row],[Date]],2)=6,MAX(0,Horaires356[[#This Row],[PNP Fin corrigée]]-(1+deb_dimJF)),0))*24</f>
        <v>0</v>
      </c>
      <c r="R17" s="45">
        <f>(IF(COUNTIF(JF,Horaires356[[#This Row],[Date]]),MAX(0,MIN(fin_dimJF,Horaires356[[#This Row],[Fin corrigée si nuit]])-MAX(deb_dimJF,Horaires356[[#This Row],[début]])),0)+IF(COUNTIF(JF,Horaires356[[#This Row],[Date]]+1),MAX(0,Horaires356[[#This Row],[Fin corrigée si nuit]]-(1+deb_dimJF)),0))*24</f>
        <v>0</v>
      </c>
      <c r="S17" s="45">
        <f>(IF(COUNTIF(JF,Horaires356[[#This Row],[Date]]),MAX(0,MIN(fin_dimJF,Horaires356[[#This Row],[Fin corrigée si nuit]])-MAX(deb_dimJF,Horaires356[[#This Row],[début]])),0)+IF(COUNTIF(JF,Horaires356[[#This Row],[Date]]+1),MAX(0,Horaires356[[#This Row],[Fin corrigée si nuit]]-(1+deb_dimJF)),0))*24-
(IF(COUNTIF(JF,Horaires356[[#This Row],[Date]]),MAX(0,MIN(fin_dimJF,Horaires356[[#This Row],[PNP Fin corrigée]])-MAX(deb_dimJF,Horaires356[[#This Row],[PNP Début corrigé]])),0)+IF(COUNTIF(JF,Horaires356[[#This Row],[Date]]+1),MAX(0,Horaires356[[#This Row],[PNP Fin corrigée]]-(1+deb_dimJF)),0))*24</f>
        <v>0</v>
      </c>
    </row>
    <row r="18" spans="1:19" x14ac:dyDescent="0.35">
      <c r="A18" s="5"/>
      <c r="B18" s="1"/>
      <c r="C18" s="2"/>
      <c r="D18" s="2"/>
      <c r="E18" s="3"/>
      <c r="F18" s="3"/>
      <c r="G18" s="3"/>
      <c r="H18" s="3"/>
      <c r="I18" s="51">
        <f>0.1*(Horaires356[[#This Row],[Heures de nuit]]+Horaires356[[#This Row],[heures jour dimanche]]+Horaires356[[#This Row],[heures jour fériés]])</f>
        <v>0</v>
      </c>
      <c r="J18" s="52">
        <f>(MOD(Horaires356[[#This Row],[Fin]]-Horaires356[[#This Row],[début]],1)-MOD(Horaires356[[#This Row],[PNP Fin]]-Horaires356[[#This Row],[PNP Début]],1))*24</f>
        <v>0</v>
      </c>
      <c r="K18" s="43">
        <f>IF(Horaires356[[#This Row],[PNP Début]]=0,0,IF(Horaires356[[#This Row],[PNP Début]]&lt;Horaires356[[#This Row],[début]],1,0)+Horaires356[[#This Row],[PNP Début]])</f>
        <v>0</v>
      </c>
      <c r="L18" s="44">
        <f>IF(Horaires356[[#This Row],[PNP Fin]]=0,0,IF(Horaires356[[#This Row],[PNP Fin]]&lt;Horaires356[[#This Row],[début]],1,0)+Horaires356[[#This Row],[PNP Fin]])</f>
        <v>0</v>
      </c>
      <c r="M18" s="44">
        <f>IF(Horaires356[[#This Row],[Fin]]&lt;Horaires356[[#This Row],[début]],1,0)+Horaires356[[#This Row],[Fin]]</f>
        <v>0</v>
      </c>
      <c r="N18" s="35">
        <f>IF(Horaires356[[#This Row],[Fin]]&lt;Horaires356[[#This Row],[début]],MAX(0,MIN(Horaires356[[#This Row],[Fin corrigée si nuit]],fin_nuit)-MAX(Horaires356[[#This Row],[début]],deb_nuit))*24,(MAX(deb_nuit,Horaires356[[#This Row],[Fin]])-MAX(deb_nuit,Horaires356[[#This Row],[début]])+MAX(MIN(fin_nuit-1,Horaires356[[#This Row],[Fin]])-MIN(fin_nuit-1,Horaires356[[#This Row],[début]]),0))*24)</f>
        <v>0</v>
      </c>
      <c r="O18" s="45">
        <f>(MAX(0,MIN(Horaires356[[#This Row],[Fin corrigée si nuit]],fin_nuit)-MAX(Horaires356[[#This Row],[début]],deb_nuit))-IF(Horaires356[[#This Row],[PNP Début]]=0,0,MIN(Horaires356[[#This Row],[PNP Fin corrigée]],fin_nuit)-MAX(Horaires356[[#This Row],[PNP Début corrigé]],deb_nuit)))*24</f>
        <v>0</v>
      </c>
      <c r="P18" s="45">
        <f>(IF(WEEKDAY(Horaires356[[#This Row],[Date]],2)=7,MAX(0,MIN(fin_dimJF,Horaires356[[#This Row],[Fin corrigée si nuit]])-MAX(deb_dimJF,Horaires356[[#This Row],[début]])),0)+IF(WEEKDAY(Horaires356[[#This Row],[Date]],2)=6,MAX(0,Horaires356[[#This Row],[Fin corrigée si nuit]]-(1+deb_dimJF)),0))*24</f>
        <v>0</v>
      </c>
      <c r="Q18" s="45">
        <f>(IF(WEEKDAY(Horaires356[[#This Row],[Date]],2)=7,MAX(0,MIN(fin_dimJF,Horaires356[[#This Row],[Fin corrigée si nuit]])-MAX(deb_dimJF,Horaires356[[#This Row],[début]])),0)+IF(WEEKDAY(Horaires356[[#This Row],[Date]],2)=6,MAX(0,Horaires356[[#This Row],[Fin corrigée si nuit]]-(1+deb_dimJF)),0))*24-
(IF(WEEKDAY(Horaires356[[#This Row],[Date]],2)=7,MAX(0,MIN(fin_dimJF,Horaires356[[#This Row],[PNP Fin corrigée]])-MAX(deb_dimJF,Horaires356[[#This Row],[PNP Début corrigé]])),0)+IF(WEEKDAY(Horaires356[[#This Row],[Date]],2)=6,MAX(0,Horaires356[[#This Row],[PNP Fin corrigée]]-(1+deb_dimJF)),0))*24</f>
        <v>0</v>
      </c>
      <c r="R18" s="45">
        <f>(IF(COUNTIF(JF,Horaires356[[#This Row],[Date]]),MAX(0,MIN(fin_dimJF,Horaires356[[#This Row],[Fin corrigée si nuit]])-MAX(deb_dimJF,Horaires356[[#This Row],[début]])),0)+IF(COUNTIF(JF,Horaires356[[#This Row],[Date]]+1),MAX(0,Horaires356[[#This Row],[Fin corrigée si nuit]]-(1+deb_dimJF)),0))*24</f>
        <v>0</v>
      </c>
      <c r="S18" s="45">
        <f>(IF(COUNTIF(JF,Horaires356[[#This Row],[Date]]),MAX(0,MIN(fin_dimJF,Horaires356[[#This Row],[Fin corrigée si nuit]])-MAX(deb_dimJF,Horaires356[[#This Row],[début]])),0)+IF(COUNTIF(JF,Horaires356[[#This Row],[Date]]+1),MAX(0,Horaires356[[#This Row],[Fin corrigée si nuit]]-(1+deb_dimJF)),0))*24-
(IF(COUNTIF(JF,Horaires356[[#This Row],[Date]]),MAX(0,MIN(fin_dimJF,Horaires356[[#This Row],[PNP Fin corrigée]])-MAX(deb_dimJF,Horaires356[[#This Row],[PNP Début corrigé]])),0)+IF(COUNTIF(JF,Horaires356[[#This Row],[Date]]+1),MAX(0,Horaires356[[#This Row],[PNP Fin corrigée]]-(1+deb_dimJF)),0))*24</f>
        <v>0</v>
      </c>
    </row>
    <row r="19" spans="1:19" x14ac:dyDescent="0.35">
      <c r="A19" s="5"/>
      <c r="B19" s="1"/>
      <c r="C19" s="2"/>
      <c r="D19" s="2"/>
      <c r="E19" s="3"/>
      <c r="F19" s="3"/>
      <c r="G19" s="3"/>
      <c r="H19" s="3"/>
      <c r="I19" s="51">
        <f>0.1*(Horaires356[[#This Row],[Heures de nuit]]+Horaires356[[#This Row],[heures jour dimanche]]+Horaires356[[#This Row],[heures jour fériés]])</f>
        <v>0</v>
      </c>
      <c r="J19" s="52">
        <f>(MOD(Horaires356[[#This Row],[Fin]]-Horaires356[[#This Row],[début]],1)-MOD(Horaires356[[#This Row],[PNP Fin]]-Horaires356[[#This Row],[PNP Début]],1))*24</f>
        <v>0</v>
      </c>
      <c r="K19" s="43">
        <f>IF(Horaires356[[#This Row],[PNP Début]]=0,0,IF(Horaires356[[#This Row],[PNP Début]]&lt;Horaires356[[#This Row],[début]],1,0)+Horaires356[[#This Row],[PNP Début]])</f>
        <v>0</v>
      </c>
      <c r="L19" s="44">
        <f>IF(Horaires356[[#This Row],[PNP Fin]]=0,0,IF(Horaires356[[#This Row],[PNP Fin]]&lt;Horaires356[[#This Row],[début]],1,0)+Horaires356[[#This Row],[PNP Fin]])</f>
        <v>0</v>
      </c>
      <c r="M19" s="44">
        <f>IF(Horaires356[[#This Row],[Fin]]&lt;Horaires356[[#This Row],[début]],1,0)+Horaires356[[#This Row],[Fin]]</f>
        <v>0</v>
      </c>
      <c r="N19" s="35">
        <f>IF(Horaires356[[#This Row],[Fin]]&lt;Horaires356[[#This Row],[début]],MAX(0,MIN(Horaires356[[#This Row],[Fin corrigée si nuit]],fin_nuit)-MAX(Horaires356[[#This Row],[début]],deb_nuit))*24,(MAX(deb_nuit,Horaires356[[#This Row],[Fin]])-MAX(deb_nuit,Horaires356[[#This Row],[début]])+MAX(MIN(fin_nuit-1,Horaires356[[#This Row],[Fin]])-MIN(fin_nuit-1,Horaires356[[#This Row],[début]]),0))*24)</f>
        <v>0</v>
      </c>
      <c r="O19" s="45">
        <f>(MAX(0,MIN(Horaires356[[#This Row],[Fin corrigée si nuit]],fin_nuit)-MAX(Horaires356[[#This Row],[début]],deb_nuit))-IF(Horaires356[[#This Row],[PNP Début]]=0,0,MIN(Horaires356[[#This Row],[PNP Fin corrigée]],fin_nuit)-MAX(Horaires356[[#This Row],[PNP Début corrigé]],deb_nuit)))*24</f>
        <v>0</v>
      </c>
      <c r="P19" s="45">
        <f>(IF(WEEKDAY(Horaires356[[#This Row],[Date]],2)=7,MAX(0,MIN(fin_dimJF,Horaires356[[#This Row],[Fin corrigée si nuit]])-MAX(deb_dimJF,Horaires356[[#This Row],[début]])),0)+IF(WEEKDAY(Horaires356[[#This Row],[Date]],2)=6,MAX(0,Horaires356[[#This Row],[Fin corrigée si nuit]]-(1+deb_dimJF)),0))*24</f>
        <v>0</v>
      </c>
      <c r="Q19" s="45">
        <f>(IF(WEEKDAY(Horaires356[[#This Row],[Date]],2)=7,MAX(0,MIN(fin_dimJF,Horaires356[[#This Row],[Fin corrigée si nuit]])-MAX(deb_dimJF,Horaires356[[#This Row],[début]])),0)+IF(WEEKDAY(Horaires356[[#This Row],[Date]],2)=6,MAX(0,Horaires356[[#This Row],[Fin corrigée si nuit]]-(1+deb_dimJF)),0))*24-
(IF(WEEKDAY(Horaires356[[#This Row],[Date]],2)=7,MAX(0,MIN(fin_dimJF,Horaires356[[#This Row],[PNP Fin corrigée]])-MAX(deb_dimJF,Horaires356[[#This Row],[PNP Début corrigé]])),0)+IF(WEEKDAY(Horaires356[[#This Row],[Date]],2)=6,MAX(0,Horaires356[[#This Row],[PNP Fin corrigée]]-(1+deb_dimJF)),0))*24</f>
        <v>0</v>
      </c>
      <c r="R19" s="45">
        <f>(IF(COUNTIF(JF,Horaires356[[#This Row],[Date]]),MAX(0,MIN(fin_dimJF,Horaires356[[#This Row],[Fin corrigée si nuit]])-MAX(deb_dimJF,Horaires356[[#This Row],[début]])),0)+IF(COUNTIF(JF,Horaires356[[#This Row],[Date]]+1),MAX(0,Horaires356[[#This Row],[Fin corrigée si nuit]]-(1+deb_dimJF)),0))*24</f>
        <v>0</v>
      </c>
      <c r="S19" s="45">
        <f>(IF(COUNTIF(JF,Horaires356[[#This Row],[Date]]),MAX(0,MIN(fin_dimJF,Horaires356[[#This Row],[Fin corrigée si nuit]])-MAX(deb_dimJF,Horaires356[[#This Row],[début]])),0)+IF(COUNTIF(JF,Horaires356[[#This Row],[Date]]+1),MAX(0,Horaires356[[#This Row],[Fin corrigée si nuit]]-(1+deb_dimJF)),0))*24-
(IF(COUNTIF(JF,Horaires356[[#This Row],[Date]]),MAX(0,MIN(fin_dimJF,Horaires356[[#This Row],[PNP Fin corrigée]])-MAX(deb_dimJF,Horaires356[[#This Row],[PNP Début corrigé]])),0)+IF(COUNTIF(JF,Horaires356[[#This Row],[Date]]+1),MAX(0,Horaires356[[#This Row],[PNP Fin corrigée]]-(1+deb_dimJF)),0))*24</f>
        <v>0</v>
      </c>
    </row>
    <row r="20" spans="1:19" x14ac:dyDescent="0.35">
      <c r="A20" s="5"/>
      <c r="B20" s="1"/>
      <c r="C20" s="2"/>
      <c r="D20" s="2"/>
      <c r="E20" s="3"/>
      <c r="F20" s="3"/>
      <c r="G20" s="3"/>
      <c r="H20" s="3"/>
      <c r="I20" s="51">
        <f>0.1*(Horaires356[[#This Row],[Heures de nuit]]+Horaires356[[#This Row],[heures jour dimanche]]+Horaires356[[#This Row],[heures jour fériés]])</f>
        <v>0</v>
      </c>
      <c r="J20" s="52">
        <f>(MOD(Horaires356[[#This Row],[Fin]]-Horaires356[[#This Row],[début]],1)-MOD(Horaires356[[#This Row],[PNP Fin]]-Horaires356[[#This Row],[PNP Début]],1))*24</f>
        <v>0</v>
      </c>
      <c r="K20" s="43">
        <f>IF(Horaires356[[#This Row],[PNP Début]]=0,0,IF(Horaires356[[#This Row],[PNP Début]]&lt;Horaires356[[#This Row],[début]],1,0)+Horaires356[[#This Row],[PNP Début]])</f>
        <v>0</v>
      </c>
      <c r="L20" s="44">
        <f>IF(Horaires356[[#This Row],[PNP Fin]]=0,0,IF(Horaires356[[#This Row],[PNP Fin]]&lt;Horaires356[[#This Row],[début]],1,0)+Horaires356[[#This Row],[PNP Fin]])</f>
        <v>0</v>
      </c>
      <c r="M20" s="44">
        <f>IF(Horaires356[[#This Row],[Fin]]&lt;Horaires356[[#This Row],[début]],1,0)+Horaires356[[#This Row],[Fin]]</f>
        <v>0</v>
      </c>
      <c r="N20" s="35">
        <f>IF(Horaires356[[#This Row],[Fin]]&lt;Horaires356[[#This Row],[début]],MAX(0,MIN(Horaires356[[#This Row],[Fin corrigée si nuit]],fin_nuit)-MAX(Horaires356[[#This Row],[début]],deb_nuit))*24,(MAX(deb_nuit,Horaires356[[#This Row],[Fin]])-MAX(deb_nuit,Horaires356[[#This Row],[début]])+MAX(MIN(fin_nuit-1,Horaires356[[#This Row],[Fin]])-MIN(fin_nuit-1,Horaires356[[#This Row],[début]]),0))*24)</f>
        <v>0</v>
      </c>
      <c r="O20" s="45">
        <f>(MAX(0,MIN(Horaires356[[#This Row],[Fin corrigée si nuit]],fin_nuit)-MAX(Horaires356[[#This Row],[début]],deb_nuit))-IF(Horaires356[[#This Row],[PNP Début]]=0,0,MIN(Horaires356[[#This Row],[PNP Fin corrigée]],fin_nuit)-MAX(Horaires356[[#This Row],[PNP Début corrigé]],deb_nuit)))*24</f>
        <v>0</v>
      </c>
      <c r="P20" s="45">
        <f>(IF(WEEKDAY(Horaires356[[#This Row],[Date]],2)=7,MAX(0,MIN(fin_dimJF,Horaires356[[#This Row],[Fin corrigée si nuit]])-MAX(deb_dimJF,Horaires356[[#This Row],[début]])),0)+IF(WEEKDAY(Horaires356[[#This Row],[Date]],2)=6,MAX(0,Horaires356[[#This Row],[Fin corrigée si nuit]]-(1+deb_dimJF)),0))*24</f>
        <v>0</v>
      </c>
      <c r="Q20" s="45">
        <f>(IF(WEEKDAY(Horaires356[[#This Row],[Date]],2)=7,MAX(0,MIN(fin_dimJF,Horaires356[[#This Row],[Fin corrigée si nuit]])-MAX(deb_dimJF,Horaires356[[#This Row],[début]])),0)+IF(WEEKDAY(Horaires356[[#This Row],[Date]],2)=6,MAX(0,Horaires356[[#This Row],[Fin corrigée si nuit]]-(1+deb_dimJF)),0))*24-
(IF(WEEKDAY(Horaires356[[#This Row],[Date]],2)=7,MAX(0,MIN(fin_dimJF,Horaires356[[#This Row],[PNP Fin corrigée]])-MAX(deb_dimJF,Horaires356[[#This Row],[PNP Début corrigé]])),0)+IF(WEEKDAY(Horaires356[[#This Row],[Date]],2)=6,MAX(0,Horaires356[[#This Row],[PNP Fin corrigée]]-(1+deb_dimJF)),0))*24</f>
        <v>0</v>
      </c>
      <c r="R20" s="45">
        <f>(IF(COUNTIF(JF,Horaires356[[#This Row],[Date]]),MAX(0,MIN(fin_dimJF,Horaires356[[#This Row],[Fin corrigée si nuit]])-MAX(deb_dimJF,Horaires356[[#This Row],[début]])),0)+IF(COUNTIF(JF,Horaires356[[#This Row],[Date]]+1),MAX(0,Horaires356[[#This Row],[Fin corrigée si nuit]]-(1+deb_dimJF)),0))*24</f>
        <v>0</v>
      </c>
      <c r="S20" s="45">
        <f>(IF(COUNTIF(JF,Horaires356[[#This Row],[Date]]),MAX(0,MIN(fin_dimJF,Horaires356[[#This Row],[Fin corrigée si nuit]])-MAX(deb_dimJF,Horaires356[[#This Row],[début]])),0)+IF(COUNTIF(JF,Horaires356[[#This Row],[Date]]+1),MAX(0,Horaires356[[#This Row],[Fin corrigée si nuit]]-(1+deb_dimJF)),0))*24-
(IF(COUNTIF(JF,Horaires356[[#This Row],[Date]]),MAX(0,MIN(fin_dimJF,Horaires356[[#This Row],[PNP Fin corrigée]])-MAX(deb_dimJF,Horaires356[[#This Row],[PNP Début corrigé]])),0)+IF(COUNTIF(JF,Horaires356[[#This Row],[Date]]+1),MAX(0,Horaires356[[#This Row],[PNP Fin corrigée]]-(1+deb_dimJF)),0))*24</f>
        <v>0</v>
      </c>
    </row>
    <row r="21" spans="1:19" x14ac:dyDescent="0.35">
      <c r="A21" s="5"/>
      <c r="B21" s="1"/>
      <c r="C21" s="2"/>
      <c r="D21" s="2"/>
      <c r="E21" s="3"/>
      <c r="F21" s="3"/>
      <c r="G21" s="3"/>
      <c r="H21" s="3"/>
      <c r="I21" s="51">
        <f>0.1*(Horaires356[[#This Row],[Heures de nuit]]+Horaires356[[#This Row],[heures jour dimanche]]+Horaires356[[#This Row],[heures jour fériés]])</f>
        <v>0</v>
      </c>
      <c r="J21" s="52">
        <f>(MOD(Horaires356[[#This Row],[Fin]]-Horaires356[[#This Row],[début]],1)-MOD(Horaires356[[#This Row],[PNP Fin]]-Horaires356[[#This Row],[PNP Début]],1))*24</f>
        <v>0</v>
      </c>
      <c r="K21" s="48">
        <f>IF(Horaires356[[#This Row],[PNP Début]]=0,0,IF(Horaires356[[#This Row],[PNP Début]]&lt;Horaires356[[#This Row],[début]],1,0)+Horaires356[[#This Row],[PNP Début]])</f>
        <v>0</v>
      </c>
      <c r="L21" s="49">
        <f>IF(Horaires356[[#This Row],[PNP Fin]]=0,0,IF(Horaires356[[#This Row],[PNP Fin]]&lt;Horaires356[[#This Row],[début]],1,0)+Horaires356[[#This Row],[PNP Fin]])</f>
        <v>0</v>
      </c>
      <c r="M21" s="49">
        <f>IF(Horaires356[[#This Row],[Fin]]&lt;Horaires356[[#This Row],[début]],1,0)+Horaires356[[#This Row],[Fin]]</f>
        <v>0</v>
      </c>
      <c r="N21" s="35">
        <f>IF(Horaires356[[#This Row],[Fin]]&lt;Horaires356[[#This Row],[début]],MAX(0,MIN(Horaires356[[#This Row],[Fin corrigée si nuit]],fin_nuit)-MAX(Horaires356[[#This Row],[début]],deb_nuit))*24,(MAX(deb_nuit,Horaires356[[#This Row],[Fin]])-MAX(deb_nuit,Horaires356[[#This Row],[début]])+MAX(MIN(fin_nuit-1,Horaires356[[#This Row],[Fin]])-MIN(fin_nuit-1,Horaires356[[#This Row],[début]]),0))*24)</f>
        <v>0</v>
      </c>
      <c r="O21" s="50">
        <f>(MAX(0,MIN(Horaires356[[#This Row],[Fin corrigée si nuit]],fin_nuit)-MAX(Horaires356[[#This Row],[début]],deb_nuit))-IF(Horaires356[[#This Row],[PNP Début]]=0,0,MIN(Horaires356[[#This Row],[PNP Fin corrigée]],fin_nuit)-MAX(Horaires356[[#This Row],[PNP Début corrigé]],deb_nuit)))*24</f>
        <v>0</v>
      </c>
      <c r="P21" s="50">
        <f>(IF(WEEKDAY(Horaires356[[#This Row],[Date]],2)=7,MAX(0,MIN(fin_dimJF,Horaires356[[#This Row],[Fin corrigée si nuit]])-MAX(deb_dimJF,Horaires356[[#This Row],[début]])),0)+IF(WEEKDAY(Horaires356[[#This Row],[Date]],2)=6,MAX(0,Horaires356[[#This Row],[Fin corrigée si nuit]]-(1+deb_dimJF)),0))*24</f>
        <v>0</v>
      </c>
      <c r="Q21" s="50">
        <f>(IF(WEEKDAY(Horaires356[[#This Row],[Date]],2)=7,MAX(0,MIN(fin_dimJF,Horaires356[[#This Row],[Fin corrigée si nuit]])-MAX(deb_dimJF,Horaires356[[#This Row],[début]])),0)+IF(WEEKDAY(Horaires356[[#This Row],[Date]],2)=6,MAX(0,Horaires356[[#This Row],[Fin corrigée si nuit]]-(1+deb_dimJF)),0))*24-
(IF(WEEKDAY(Horaires356[[#This Row],[Date]],2)=7,MAX(0,MIN(fin_dimJF,Horaires356[[#This Row],[PNP Fin corrigée]])-MAX(deb_dimJF,Horaires356[[#This Row],[PNP Début corrigé]])),0)+IF(WEEKDAY(Horaires356[[#This Row],[Date]],2)=6,MAX(0,Horaires356[[#This Row],[PNP Fin corrigée]]-(1+deb_dimJF)),0))*24</f>
        <v>0</v>
      </c>
      <c r="R21" s="50">
        <f>(IF(COUNTIF(JF,Horaires356[[#This Row],[Date]]),MAX(0,MIN(fin_dimJF,Horaires356[[#This Row],[Fin corrigée si nuit]])-MAX(deb_dimJF,Horaires356[[#This Row],[début]])),0)+IF(COUNTIF(JF,Horaires356[[#This Row],[Date]]+1),MAX(0,Horaires356[[#This Row],[Fin corrigée si nuit]]-(1+deb_dimJF)),0))*24</f>
        <v>0</v>
      </c>
      <c r="S21" s="50">
        <f>(IF(COUNTIF(JF,Horaires356[[#This Row],[Date]]),MAX(0,MIN(fin_dimJF,Horaires356[[#This Row],[Fin corrigée si nuit]])-MAX(deb_dimJF,Horaires356[[#This Row],[début]])),0)+IF(COUNTIF(JF,Horaires356[[#This Row],[Date]]+1),MAX(0,Horaires356[[#This Row],[Fin corrigée si nuit]]-(1+deb_dimJF)),0))*24-
(IF(COUNTIF(JF,Horaires356[[#This Row],[Date]]),MAX(0,MIN(fin_dimJF,Horaires356[[#This Row],[PNP Fin corrigée]])-MAX(deb_dimJF,Horaires356[[#This Row],[PNP Début corrigé]])),0)+IF(COUNTIF(JF,Horaires356[[#This Row],[Date]]+1),MAX(0,Horaires356[[#This Row],[PNP Fin corrigée]]-(1+deb_dimJF)),0))*24</f>
        <v>0</v>
      </c>
    </row>
    <row r="22" spans="1:19" x14ac:dyDescent="0.35">
      <c r="A22" s="5"/>
      <c r="B22" s="1"/>
      <c r="C22" s="2"/>
      <c r="D22" s="2"/>
      <c r="E22" s="3"/>
      <c r="F22" s="3"/>
      <c r="G22" s="3"/>
      <c r="H22" s="3"/>
      <c r="I22" s="51">
        <f>0.1*(Horaires356[[#This Row],[Heures de nuit]]+Horaires356[[#This Row],[heures jour dimanche]]+Horaires356[[#This Row],[heures jour fériés]])</f>
        <v>0</v>
      </c>
      <c r="J22" s="52">
        <f>(MOD(Horaires356[[#This Row],[Fin]]-Horaires356[[#This Row],[début]],1)-MOD(Horaires356[[#This Row],[PNP Fin]]-Horaires356[[#This Row],[PNP Début]],1))*24</f>
        <v>0</v>
      </c>
      <c r="K22" s="53">
        <f>IF(Horaires356[[#This Row],[PNP Début]]=0,0,IF(Horaires356[[#This Row],[PNP Début]]&lt;Horaires356[[#This Row],[début]],1,0)+Horaires356[[#This Row],[PNP Début]])</f>
        <v>0</v>
      </c>
      <c r="L22" s="54">
        <f>IF(Horaires356[[#This Row],[PNP Fin]]=0,0,IF(Horaires356[[#This Row],[PNP Fin]]&lt;Horaires356[[#This Row],[début]],1,0)+Horaires356[[#This Row],[PNP Fin]])</f>
        <v>0</v>
      </c>
      <c r="M22" s="54">
        <f>IF(Horaires356[[#This Row],[Fin]]&lt;Horaires356[[#This Row],[début]],1,0)+Horaires356[[#This Row],[Fin]]</f>
        <v>0</v>
      </c>
      <c r="N22" s="35">
        <f>IF(Horaires356[[#This Row],[Fin]]&lt;Horaires356[[#This Row],[début]],MAX(0,MIN(Horaires356[[#This Row],[Fin corrigée si nuit]],fin_nuit)-MAX(Horaires356[[#This Row],[début]],deb_nuit))*24,(MAX(deb_nuit,Horaires356[[#This Row],[Fin]])-MAX(deb_nuit,Horaires356[[#This Row],[début]])+MAX(MIN(fin_nuit-1,Horaires356[[#This Row],[Fin]])-MIN(fin_nuit-1,Horaires356[[#This Row],[début]]),0))*24)</f>
        <v>0</v>
      </c>
      <c r="O22" s="55">
        <f>(MAX(0,MIN(Horaires356[[#This Row],[Fin corrigée si nuit]],fin_nuit)-MAX(Horaires356[[#This Row],[début]],deb_nuit))-IF(Horaires356[[#This Row],[PNP Début]]=0,0,MIN(Horaires356[[#This Row],[PNP Fin corrigée]],fin_nuit)-MAX(Horaires356[[#This Row],[PNP Début corrigé]],deb_nuit)))*24</f>
        <v>0</v>
      </c>
      <c r="P22" s="55">
        <f>(IF(WEEKDAY(Horaires356[[#This Row],[Date]],2)=7,MAX(0,MIN(fin_dimJF,Horaires356[[#This Row],[Fin corrigée si nuit]])-MAX(deb_dimJF,Horaires356[[#This Row],[début]])),0)+IF(WEEKDAY(Horaires356[[#This Row],[Date]],2)=6,MAX(0,Horaires356[[#This Row],[Fin corrigée si nuit]]-(1+deb_dimJF)),0))*24</f>
        <v>0</v>
      </c>
      <c r="Q22" s="55">
        <f>(IF(WEEKDAY(Horaires356[[#This Row],[Date]],2)=7,MAX(0,MIN(fin_dimJF,Horaires356[[#This Row],[Fin corrigée si nuit]])-MAX(deb_dimJF,Horaires356[[#This Row],[début]])),0)+IF(WEEKDAY(Horaires356[[#This Row],[Date]],2)=6,MAX(0,Horaires356[[#This Row],[Fin corrigée si nuit]]-(1+deb_dimJF)),0))*24-
(IF(WEEKDAY(Horaires356[[#This Row],[Date]],2)=7,MAX(0,MIN(fin_dimJF,Horaires356[[#This Row],[PNP Fin corrigée]])-MAX(deb_dimJF,Horaires356[[#This Row],[PNP Début corrigé]])),0)+IF(WEEKDAY(Horaires356[[#This Row],[Date]],2)=6,MAX(0,Horaires356[[#This Row],[PNP Fin corrigée]]-(1+deb_dimJF)),0))*24</f>
        <v>0</v>
      </c>
      <c r="R22" s="55">
        <f>(IF(COUNTIF(JF,Horaires356[[#This Row],[Date]]),MAX(0,MIN(fin_dimJF,Horaires356[[#This Row],[Fin corrigée si nuit]])-MAX(deb_dimJF,Horaires356[[#This Row],[début]])),0)+IF(COUNTIF(JF,Horaires356[[#This Row],[Date]]+1),MAX(0,Horaires356[[#This Row],[Fin corrigée si nuit]]-(1+deb_dimJF)),0))*24</f>
        <v>0</v>
      </c>
      <c r="S22" s="55">
        <f>(IF(COUNTIF(JF,Horaires356[[#This Row],[Date]]),MAX(0,MIN(fin_dimJF,Horaires356[[#This Row],[Fin corrigée si nuit]])-MAX(deb_dimJF,Horaires356[[#This Row],[début]])),0)+IF(COUNTIF(JF,Horaires356[[#This Row],[Date]]+1),MAX(0,Horaires356[[#This Row],[Fin corrigée si nuit]]-(1+deb_dimJF)),0))*24-
(IF(COUNTIF(JF,Horaires356[[#This Row],[Date]]),MAX(0,MIN(fin_dimJF,Horaires356[[#This Row],[PNP Fin corrigée]])-MAX(deb_dimJF,Horaires356[[#This Row],[PNP Début corrigé]])),0)+IF(COUNTIF(JF,Horaires356[[#This Row],[Date]]+1),MAX(0,Horaires356[[#This Row],[PNP Fin corrigée]]-(1+deb_dimJF)),0))*24</f>
        <v>0</v>
      </c>
    </row>
    <row r="23" spans="1:19" x14ac:dyDescent="0.35">
      <c r="A23" s="5"/>
      <c r="B23" s="1"/>
      <c r="C23" s="2"/>
      <c r="D23" s="2"/>
      <c r="E23" s="3"/>
      <c r="F23" s="3"/>
      <c r="G23" s="3"/>
      <c r="H23" s="3"/>
      <c r="I23" s="51">
        <f>0.1*(Horaires356[[#This Row],[Heures de nuit]]+Horaires356[[#This Row],[heures jour dimanche]]+Horaires356[[#This Row],[heures jour fériés]])</f>
        <v>0</v>
      </c>
      <c r="J23" s="52">
        <f>(MOD(Horaires356[[#This Row],[Fin]]-Horaires356[[#This Row],[début]],1)-MOD(Horaires356[[#This Row],[PNP Fin]]-Horaires356[[#This Row],[PNP Début]],1))*24</f>
        <v>0</v>
      </c>
      <c r="K23" s="53">
        <f>IF(Horaires356[[#This Row],[PNP Début]]=0,0,IF(Horaires356[[#This Row],[PNP Début]]&lt;Horaires356[[#This Row],[début]],1,0)+Horaires356[[#This Row],[PNP Début]])</f>
        <v>0</v>
      </c>
      <c r="L23" s="54">
        <f>IF(Horaires356[[#This Row],[PNP Fin]]=0,0,IF(Horaires356[[#This Row],[PNP Fin]]&lt;Horaires356[[#This Row],[début]],1,0)+Horaires356[[#This Row],[PNP Fin]])</f>
        <v>0</v>
      </c>
      <c r="M23" s="54">
        <f>IF(Horaires356[[#This Row],[Fin]]&lt;Horaires356[[#This Row],[début]],1,0)+Horaires356[[#This Row],[Fin]]</f>
        <v>0</v>
      </c>
      <c r="N23" s="35">
        <f>IF(Horaires356[[#This Row],[Fin]]&lt;Horaires356[[#This Row],[début]],MAX(0,MIN(Horaires356[[#This Row],[Fin corrigée si nuit]],fin_nuit)-MAX(Horaires356[[#This Row],[début]],deb_nuit))*24,(MAX(deb_nuit,Horaires356[[#This Row],[Fin]])-MAX(deb_nuit,Horaires356[[#This Row],[début]])+MAX(MIN(fin_nuit-1,Horaires356[[#This Row],[Fin]])-MIN(fin_nuit-1,Horaires356[[#This Row],[début]]),0))*24)</f>
        <v>0</v>
      </c>
      <c r="O23" s="55">
        <f>(MAX(0,MIN(Horaires356[[#This Row],[Fin corrigée si nuit]],fin_nuit)-MAX(Horaires356[[#This Row],[début]],deb_nuit))-IF(Horaires356[[#This Row],[PNP Début]]=0,0,MIN(Horaires356[[#This Row],[PNP Fin corrigée]],fin_nuit)-MAX(Horaires356[[#This Row],[PNP Début corrigé]],deb_nuit)))*24</f>
        <v>0</v>
      </c>
      <c r="P23" s="55">
        <f>(IF(WEEKDAY(Horaires356[[#This Row],[Date]],2)=7,MAX(0,MIN(fin_dimJF,Horaires356[[#This Row],[Fin corrigée si nuit]])-MAX(deb_dimJF,Horaires356[[#This Row],[début]])),0)+IF(WEEKDAY(Horaires356[[#This Row],[Date]],2)=6,MAX(0,Horaires356[[#This Row],[Fin corrigée si nuit]]-(1+deb_dimJF)),0))*24</f>
        <v>0</v>
      </c>
      <c r="Q23" s="55">
        <f>(IF(WEEKDAY(Horaires356[[#This Row],[Date]],2)=7,MAX(0,MIN(fin_dimJF,Horaires356[[#This Row],[Fin corrigée si nuit]])-MAX(deb_dimJF,Horaires356[[#This Row],[début]])),0)+IF(WEEKDAY(Horaires356[[#This Row],[Date]],2)=6,MAX(0,Horaires356[[#This Row],[Fin corrigée si nuit]]-(1+deb_dimJF)),0))*24-
(IF(WEEKDAY(Horaires356[[#This Row],[Date]],2)=7,MAX(0,MIN(fin_dimJF,Horaires356[[#This Row],[PNP Fin corrigée]])-MAX(deb_dimJF,Horaires356[[#This Row],[PNP Début corrigé]])),0)+IF(WEEKDAY(Horaires356[[#This Row],[Date]],2)=6,MAX(0,Horaires356[[#This Row],[PNP Fin corrigée]]-(1+deb_dimJF)),0))*24</f>
        <v>0</v>
      </c>
      <c r="R23" s="55">
        <f>(IF(COUNTIF(JF,Horaires356[[#This Row],[Date]]),MAX(0,MIN(fin_dimJF,Horaires356[[#This Row],[Fin corrigée si nuit]])-MAX(deb_dimJF,Horaires356[[#This Row],[début]])),0)+IF(COUNTIF(JF,Horaires356[[#This Row],[Date]]+1),MAX(0,Horaires356[[#This Row],[Fin corrigée si nuit]]-(1+deb_dimJF)),0))*24</f>
        <v>0</v>
      </c>
      <c r="S23" s="55">
        <f>(IF(COUNTIF(JF,Horaires356[[#This Row],[Date]]),MAX(0,MIN(fin_dimJF,Horaires356[[#This Row],[Fin corrigée si nuit]])-MAX(deb_dimJF,Horaires356[[#This Row],[début]])),0)+IF(COUNTIF(JF,Horaires356[[#This Row],[Date]]+1),MAX(0,Horaires356[[#This Row],[Fin corrigée si nuit]]-(1+deb_dimJF)),0))*24-
(IF(COUNTIF(JF,Horaires356[[#This Row],[Date]]),MAX(0,MIN(fin_dimJF,Horaires356[[#This Row],[PNP Fin corrigée]])-MAX(deb_dimJF,Horaires356[[#This Row],[PNP Début corrigé]])),0)+IF(COUNTIF(JF,Horaires356[[#This Row],[Date]]+1),MAX(0,Horaires356[[#This Row],[PNP Fin corrigée]]-(1+deb_dimJF)),0))*24</f>
        <v>0</v>
      </c>
    </row>
    <row r="24" spans="1:19" ht="14.4" customHeight="1" x14ac:dyDescent="0.35">
      <c r="A24" s="5"/>
      <c r="B24" s="1"/>
      <c r="C24" s="2"/>
      <c r="D24" s="2"/>
      <c r="E24" s="3"/>
      <c r="F24" s="3"/>
      <c r="G24" s="3"/>
      <c r="H24" s="3"/>
      <c r="I24" s="51">
        <f>0.1*(Horaires356[[#This Row],[Heures de nuit]]+Horaires356[[#This Row],[heures jour dimanche]]+Horaires356[[#This Row],[heures jour fériés]])</f>
        <v>0</v>
      </c>
      <c r="J24" s="52">
        <f>(MOD(Horaires356[[#This Row],[Fin]]-Horaires356[[#This Row],[début]],1)-MOD(Horaires356[[#This Row],[PNP Fin]]-Horaires356[[#This Row],[PNP Début]],1))*24</f>
        <v>0</v>
      </c>
      <c r="K24" s="53">
        <f>IF(Horaires356[[#This Row],[PNP Début]]=0,0,IF(Horaires356[[#This Row],[PNP Début]]&lt;Horaires356[[#This Row],[début]],1,0)+Horaires356[[#This Row],[PNP Début]])</f>
        <v>0</v>
      </c>
      <c r="L24" s="54">
        <f>IF(Horaires356[[#This Row],[PNP Fin]]=0,0,IF(Horaires356[[#This Row],[PNP Fin]]&lt;Horaires356[[#This Row],[début]],1,0)+Horaires356[[#This Row],[PNP Fin]])</f>
        <v>0</v>
      </c>
      <c r="M24" s="54">
        <f>IF(Horaires356[[#This Row],[Fin]]&lt;Horaires356[[#This Row],[début]],1,0)+Horaires356[[#This Row],[Fin]]</f>
        <v>0</v>
      </c>
      <c r="N24" s="35">
        <f>IF(Horaires356[[#This Row],[Fin]]&lt;Horaires356[[#This Row],[début]],MAX(0,MIN(Horaires356[[#This Row],[Fin corrigée si nuit]],fin_nuit)-MAX(Horaires356[[#This Row],[début]],deb_nuit))*24,(MAX(deb_nuit,Horaires356[[#This Row],[Fin]])-MAX(deb_nuit,Horaires356[[#This Row],[début]])+MAX(MIN(fin_nuit-1,Horaires356[[#This Row],[Fin]])-MIN(fin_nuit-1,Horaires356[[#This Row],[début]]),0))*24)</f>
        <v>0</v>
      </c>
      <c r="O24" s="55">
        <f>(MAX(0,MIN(Horaires356[[#This Row],[Fin corrigée si nuit]],fin_nuit)-MAX(Horaires356[[#This Row],[début]],deb_nuit))-IF(Horaires356[[#This Row],[PNP Début]]=0,0,MIN(Horaires356[[#This Row],[PNP Fin corrigée]],fin_nuit)-MAX(Horaires356[[#This Row],[PNP Début corrigé]],deb_nuit)))*24</f>
        <v>0</v>
      </c>
      <c r="P24" s="55">
        <f>(IF(WEEKDAY(Horaires356[[#This Row],[Date]],2)=7,MAX(0,MIN(fin_dimJF,Horaires356[[#This Row],[Fin corrigée si nuit]])-MAX(deb_dimJF,Horaires356[[#This Row],[début]])),0)+IF(WEEKDAY(Horaires356[[#This Row],[Date]],2)=6,MAX(0,Horaires356[[#This Row],[Fin corrigée si nuit]]-(1+deb_dimJF)),0))*24</f>
        <v>0</v>
      </c>
      <c r="Q24" s="55">
        <f>(IF(WEEKDAY(Horaires356[[#This Row],[Date]],2)=7,MAX(0,MIN(fin_dimJF,Horaires356[[#This Row],[Fin corrigée si nuit]])-MAX(deb_dimJF,Horaires356[[#This Row],[début]])),0)+IF(WEEKDAY(Horaires356[[#This Row],[Date]],2)=6,MAX(0,Horaires356[[#This Row],[Fin corrigée si nuit]]-(1+deb_dimJF)),0))*24-
(IF(WEEKDAY(Horaires356[[#This Row],[Date]],2)=7,MAX(0,MIN(fin_dimJF,Horaires356[[#This Row],[PNP Fin corrigée]])-MAX(deb_dimJF,Horaires356[[#This Row],[PNP Début corrigé]])),0)+IF(WEEKDAY(Horaires356[[#This Row],[Date]],2)=6,MAX(0,Horaires356[[#This Row],[PNP Fin corrigée]]-(1+deb_dimJF)),0))*24</f>
        <v>0</v>
      </c>
      <c r="R24" s="55">
        <f>(IF(COUNTIF(JF,Horaires356[[#This Row],[Date]]),MAX(0,MIN(fin_dimJF,Horaires356[[#This Row],[Fin corrigée si nuit]])-MAX(deb_dimJF,Horaires356[[#This Row],[début]])),0)+IF(COUNTIF(JF,Horaires356[[#This Row],[Date]]+1),MAX(0,Horaires356[[#This Row],[Fin corrigée si nuit]]-(1+deb_dimJF)),0))*24</f>
        <v>0</v>
      </c>
      <c r="S24" s="55">
        <f>(IF(COUNTIF(JF,Horaires356[[#This Row],[Date]]),MAX(0,MIN(fin_dimJF,Horaires356[[#This Row],[Fin corrigée si nuit]])-MAX(deb_dimJF,Horaires356[[#This Row],[début]])),0)+IF(COUNTIF(JF,Horaires356[[#This Row],[Date]]+1),MAX(0,Horaires356[[#This Row],[Fin corrigée si nuit]]-(1+deb_dimJF)),0))*24-
(IF(COUNTIF(JF,Horaires356[[#This Row],[Date]]),MAX(0,MIN(fin_dimJF,Horaires356[[#This Row],[PNP Fin corrigée]])-MAX(deb_dimJF,Horaires356[[#This Row],[PNP Début corrigé]])),0)+IF(COUNTIF(JF,Horaires356[[#This Row],[Date]]+1),MAX(0,Horaires356[[#This Row],[PNP Fin corrigée]]-(1+deb_dimJF)),0))*24</f>
        <v>0</v>
      </c>
    </row>
    <row r="25" spans="1:19" ht="14.4" customHeight="1" x14ac:dyDescent="0.35">
      <c r="A25" s="5"/>
      <c r="B25" s="1"/>
      <c r="C25" s="2"/>
      <c r="D25" s="2"/>
      <c r="E25" s="3"/>
      <c r="F25" s="3"/>
      <c r="G25" s="3"/>
      <c r="H25" s="3"/>
      <c r="I25" s="51">
        <f>0.1*(Horaires356[[#This Row],[Heures de nuit]]+Horaires356[[#This Row],[heures jour dimanche]]+Horaires356[[#This Row],[heures jour fériés]])</f>
        <v>0</v>
      </c>
      <c r="J25" s="52">
        <f>(MOD(Horaires356[[#This Row],[Fin]]-Horaires356[[#This Row],[début]],1)-MOD(Horaires356[[#This Row],[PNP Fin]]-Horaires356[[#This Row],[PNP Début]],1))*24</f>
        <v>0</v>
      </c>
      <c r="K25" s="53">
        <f>IF(Horaires356[[#This Row],[PNP Début]]=0,0,IF(Horaires356[[#This Row],[PNP Début]]&lt;Horaires356[[#This Row],[début]],1,0)+Horaires356[[#This Row],[PNP Début]])</f>
        <v>0</v>
      </c>
      <c r="L25" s="54">
        <f>IF(Horaires356[[#This Row],[PNP Fin]]=0,0,IF(Horaires356[[#This Row],[PNP Fin]]&lt;Horaires356[[#This Row],[début]],1,0)+Horaires356[[#This Row],[PNP Fin]])</f>
        <v>0</v>
      </c>
      <c r="M25" s="54">
        <f>IF(Horaires356[[#This Row],[Fin]]&lt;Horaires356[[#This Row],[début]],1,0)+Horaires356[[#This Row],[Fin]]</f>
        <v>0</v>
      </c>
      <c r="N25" s="35">
        <f>IF(Horaires356[[#This Row],[Fin]]&lt;Horaires356[[#This Row],[début]],MAX(0,MIN(Horaires356[[#This Row],[Fin corrigée si nuit]],fin_nuit)-MAX(Horaires356[[#This Row],[début]],deb_nuit))*24,(MAX(deb_nuit,Horaires356[[#This Row],[Fin]])-MAX(deb_nuit,Horaires356[[#This Row],[début]])+MAX(MIN(fin_nuit-1,Horaires356[[#This Row],[Fin]])-MIN(fin_nuit-1,Horaires356[[#This Row],[début]]),0))*24)</f>
        <v>0</v>
      </c>
      <c r="O25" s="55">
        <f>(MAX(0,MIN(Horaires356[[#This Row],[Fin corrigée si nuit]],fin_nuit)-MAX(Horaires356[[#This Row],[début]],deb_nuit))-IF(Horaires356[[#This Row],[PNP Début]]=0,0,MIN(Horaires356[[#This Row],[PNP Fin corrigée]],fin_nuit)-MAX(Horaires356[[#This Row],[PNP Début corrigé]],deb_nuit)))*24</f>
        <v>0</v>
      </c>
      <c r="P25" s="55">
        <f>(IF(WEEKDAY(Horaires356[[#This Row],[Date]],2)=7,MAX(0,MIN(fin_dimJF,Horaires356[[#This Row],[Fin corrigée si nuit]])-MAX(deb_dimJF,Horaires356[[#This Row],[début]])),0)+IF(WEEKDAY(Horaires356[[#This Row],[Date]],2)=6,MAX(0,Horaires356[[#This Row],[Fin corrigée si nuit]]-(1+deb_dimJF)),0))*24</f>
        <v>0</v>
      </c>
      <c r="Q25" s="55">
        <f>(IF(WEEKDAY(Horaires356[[#This Row],[Date]],2)=7,MAX(0,MIN(fin_dimJF,Horaires356[[#This Row],[Fin corrigée si nuit]])-MAX(deb_dimJF,Horaires356[[#This Row],[début]])),0)+IF(WEEKDAY(Horaires356[[#This Row],[Date]],2)=6,MAX(0,Horaires356[[#This Row],[Fin corrigée si nuit]]-(1+deb_dimJF)),0))*24-
(IF(WEEKDAY(Horaires356[[#This Row],[Date]],2)=7,MAX(0,MIN(fin_dimJF,Horaires356[[#This Row],[PNP Fin corrigée]])-MAX(deb_dimJF,Horaires356[[#This Row],[PNP Début corrigé]])),0)+IF(WEEKDAY(Horaires356[[#This Row],[Date]],2)=6,MAX(0,Horaires356[[#This Row],[PNP Fin corrigée]]-(1+deb_dimJF)),0))*24</f>
        <v>0</v>
      </c>
      <c r="R25" s="55">
        <f>(IF(COUNTIF(JF,Horaires356[[#This Row],[Date]]),MAX(0,MIN(fin_dimJF,Horaires356[[#This Row],[Fin corrigée si nuit]])-MAX(deb_dimJF,Horaires356[[#This Row],[début]])),0)+IF(COUNTIF(JF,Horaires356[[#This Row],[Date]]+1),MAX(0,Horaires356[[#This Row],[Fin corrigée si nuit]]-(1+deb_dimJF)),0))*24</f>
        <v>0</v>
      </c>
      <c r="S25" s="55">
        <f>(IF(COUNTIF(JF,Horaires356[[#This Row],[Date]]),MAX(0,MIN(fin_dimJF,Horaires356[[#This Row],[Fin corrigée si nuit]])-MAX(deb_dimJF,Horaires356[[#This Row],[début]])),0)+IF(COUNTIF(JF,Horaires356[[#This Row],[Date]]+1),MAX(0,Horaires356[[#This Row],[Fin corrigée si nuit]]-(1+deb_dimJF)),0))*24-
(IF(COUNTIF(JF,Horaires356[[#This Row],[Date]]),MAX(0,MIN(fin_dimJF,Horaires356[[#This Row],[PNP Fin corrigée]])-MAX(deb_dimJF,Horaires356[[#This Row],[PNP Début corrigé]])),0)+IF(COUNTIF(JF,Horaires356[[#This Row],[Date]]+1),MAX(0,Horaires356[[#This Row],[PNP Fin corrigée]]-(1+deb_dimJF)),0))*24</f>
        <v>0</v>
      </c>
    </row>
    <row r="26" spans="1:19" ht="14.4" customHeight="1" x14ac:dyDescent="0.35">
      <c r="A26" s="5"/>
      <c r="B26" s="1"/>
      <c r="C26" s="2"/>
      <c r="D26" s="2"/>
      <c r="E26" s="3"/>
      <c r="F26" s="3"/>
      <c r="G26" s="3"/>
      <c r="H26" s="3"/>
      <c r="I26" s="51">
        <f>0.1*(Horaires356[[#This Row],[Heures de nuit]]+Horaires356[[#This Row],[heures jour dimanche]]+Horaires356[[#This Row],[heures jour fériés]])</f>
        <v>0</v>
      </c>
      <c r="J26" s="52">
        <f>(MOD(Horaires356[[#This Row],[Fin]]-Horaires356[[#This Row],[début]],1)-MOD(Horaires356[[#This Row],[PNP Fin]]-Horaires356[[#This Row],[PNP Début]],1))*24</f>
        <v>0</v>
      </c>
      <c r="K26" s="53">
        <f>IF(Horaires356[[#This Row],[PNP Début]]=0,0,IF(Horaires356[[#This Row],[PNP Début]]&lt;Horaires356[[#This Row],[début]],1,0)+Horaires356[[#This Row],[PNP Début]])</f>
        <v>0</v>
      </c>
      <c r="L26" s="54">
        <f>IF(Horaires356[[#This Row],[PNP Fin]]=0,0,IF(Horaires356[[#This Row],[PNP Fin]]&lt;Horaires356[[#This Row],[début]],1,0)+Horaires356[[#This Row],[PNP Fin]])</f>
        <v>0</v>
      </c>
      <c r="M26" s="54">
        <f>IF(Horaires356[[#This Row],[Fin]]&lt;Horaires356[[#This Row],[début]],1,0)+Horaires356[[#This Row],[Fin]]</f>
        <v>0</v>
      </c>
      <c r="N26" s="35">
        <f>IF(Horaires356[[#This Row],[Fin]]&lt;Horaires356[[#This Row],[début]],MAX(0,MIN(Horaires356[[#This Row],[Fin corrigée si nuit]],fin_nuit)-MAX(Horaires356[[#This Row],[début]],deb_nuit))*24,(MAX(deb_nuit,Horaires356[[#This Row],[Fin]])-MAX(deb_nuit,Horaires356[[#This Row],[début]])+MAX(MIN(fin_nuit-1,Horaires356[[#This Row],[Fin]])-MIN(fin_nuit-1,Horaires356[[#This Row],[début]]),0))*24)</f>
        <v>0</v>
      </c>
      <c r="O26" s="55">
        <f>(MAX(0,MIN(Horaires356[[#This Row],[Fin corrigée si nuit]],fin_nuit)-MAX(Horaires356[[#This Row],[début]],deb_nuit))-IF(Horaires356[[#This Row],[PNP Début]]=0,0,MIN(Horaires356[[#This Row],[PNP Fin corrigée]],fin_nuit)-MAX(Horaires356[[#This Row],[PNP Début corrigé]],deb_nuit)))*24</f>
        <v>0</v>
      </c>
      <c r="P26" s="55">
        <f>(IF(WEEKDAY(Horaires356[[#This Row],[Date]],2)=7,MAX(0,MIN(fin_dimJF,Horaires356[[#This Row],[Fin corrigée si nuit]])-MAX(deb_dimJF,Horaires356[[#This Row],[début]])),0)+IF(WEEKDAY(Horaires356[[#This Row],[Date]],2)=6,MAX(0,Horaires356[[#This Row],[Fin corrigée si nuit]]-(1+deb_dimJF)),0))*24</f>
        <v>0</v>
      </c>
      <c r="Q26" s="55">
        <f>(IF(WEEKDAY(Horaires356[[#This Row],[Date]],2)=7,MAX(0,MIN(fin_dimJF,Horaires356[[#This Row],[Fin corrigée si nuit]])-MAX(deb_dimJF,Horaires356[[#This Row],[début]])),0)+IF(WEEKDAY(Horaires356[[#This Row],[Date]],2)=6,MAX(0,Horaires356[[#This Row],[Fin corrigée si nuit]]-(1+deb_dimJF)),0))*24-
(IF(WEEKDAY(Horaires356[[#This Row],[Date]],2)=7,MAX(0,MIN(fin_dimJF,Horaires356[[#This Row],[PNP Fin corrigée]])-MAX(deb_dimJF,Horaires356[[#This Row],[PNP Début corrigé]])),0)+IF(WEEKDAY(Horaires356[[#This Row],[Date]],2)=6,MAX(0,Horaires356[[#This Row],[PNP Fin corrigée]]-(1+deb_dimJF)),0))*24</f>
        <v>0</v>
      </c>
      <c r="R26" s="55">
        <f>(IF(COUNTIF(JF,Horaires356[[#This Row],[Date]]),MAX(0,MIN(fin_dimJF,Horaires356[[#This Row],[Fin corrigée si nuit]])-MAX(deb_dimJF,Horaires356[[#This Row],[début]])),0)+IF(COUNTIF(JF,Horaires356[[#This Row],[Date]]+1),MAX(0,Horaires356[[#This Row],[Fin corrigée si nuit]]-(1+deb_dimJF)),0))*24</f>
        <v>0</v>
      </c>
      <c r="S26" s="55">
        <f>(IF(COUNTIF(JF,Horaires356[[#This Row],[Date]]),MAX(0,MIN(fin_dimJF,Horaires356[[#This Row],[Fin corrigée si nuit]])-MAX(deb_dimJF,Horaires356[[#This Row],[début]])),0)+IF(COUNTIF(JF,Horaires356[[#This Row],[Date]]+1),MAX(0,Horaires356[[#This Row],[Fin corrigée si nuit]]-(1+deb_dimJF)),0))*24-
(IF(COUNTIF(JF,Horaires356[[#This Row],[Date]]),MAX(0,MIN(fin_dimJF,Horaires356[[#This Row],[PNP Fin corrigée]])-MAX(deb_dimJF,Horaires356[[#This Row],[PNP Début corrigé]])),0)+IF(COUNTIF(JF,Horaires356[[#This Row],[Date]]+1),MAX(0,Horaires356[[#This Row],[PNP Fin corrigée]]-(1+deb_dimJF)),0))*24</f>
        <v>0</v>
      </c>
    </row>
    <row r="27" spans="1:19" ht="14.4" customHeight="1" x14ac:dyDescent="0.35">
      <c r="A27" s="5"/>
      <c r="B27" s="1"/>
      <c r="C27" s="2"/>
      <c r="D27" s="2"/>
      <c r="E27" s="3"/>
      <c r="F27" s="3"/>
      <c r="G27" s="3"/>
      <c r="H27" s="3"/>
      <c r="I27" s="51">
        <f>0.1*(Horaires356[[#This Row],[Heures de nuit]]+Horaires356[[#This Row],[heures jour dimanche]]+Horaires356[[#This Row],[heures jour fériés]])</f>
        <v>0</v>
      </c>
      <c r="J27" s="52">
        <f>(MOD(Horaires356[[#This Row],[Fin]]-Horaires356[[#This Row],[début]],1)-MOD(Horaires356[[#This Row],[PNP Fin]]-Horaires356[[#This Row],[PNP Début]],1))*24</f>
        <v>0</v>
      </c>
      <c r="K27" s="53">
        <f>IF(Horaires356[[#This Row],[PNP Début]]=0,0,IF(Horaires356[[#This Row],[PNP Début]]&lt;Horaires356[[#This Row],[début]],1,0)+Horaires356[[#This Row],[PNP Début]])</f>
        <v>0</v>
      </c>
      <c r="L27" s="54">
        <f>IF(Horaires356[[#This Row],[PNP Fin]]=0,0,IF(Horaires356[[#This Row],[PNP Fin]]&lt;Horaires356[[#This Row],[début]],1,0)+Horaires356[[#This Row],[PNP Fin]])</f>
        <v>0</v>
      </c>
      <c r="M27" s="54">
        <f>IF(Horaires356[[#This Row],[Fin]]&lt;Horaires356[[#This Row],[début]],1,0)+Horaires356[[#This Row],[Fin]]</f>
        <v>0</v>
      </c>
      <c r="N27" s="35">
        <f>IF(Horaires356[[#This Row],[Fin]]&lt;Horaires356[[#This Row],[début]],MAX(0,MIN(Horaires356[[#This Row],[Fin corrigée si nuit]],fin_nuit)-MAX(Horaires356[[#This Row],[début]],deb_nuit))*24,(MAX(deb_nuit,Horaires356[[#This Row],[Fin]])-MAX(deb_nuit,Horaires356[[#This Row],[début]])+MAX(MIN(fin_nuit-1,Horaires356[[#This Row],[Fin]])-MIN(fin_nuit-1,Horaires356[[#This Row],[début]]),0))*24)</f>
        <v>0</v>
      </c>
      <c r="O27" s="55">
        <f>(MAX(0,MIN(Horaires356[[#This Row],[Fin corrigée si nuit]],fin_nuit)-MAX(Horaires356[[#This Row],[début]],deb_nuit))-IF(Horaires356[[#This Row],[PNP Début]]=0,0,MIN(Horaires356[[#This Row],[PNP Fin corrigée]],fin_nuit)-MAX(Horaires356[[#This Row],[PNP Début corrigé]],deb_nuit)))*24</f>
        <v>0</v>
      </c>
      <c r="P27" s="55">
        <f>(IF(WEEKDAY(Horaires356[[#This Row],[Date]],2)=7,MAX(0,MIN(fin_dimJF,Horaires356[[#This Row],[Fin corrigée si nuit]])-MAX(deb_dimJF,Horaires356[[#This Row],[début]])),0)+IF(WEEKDAY(Horaires356[[#This Row],[Date]],2)=6,MAX(0,Horaires356[[#This Row],[Fin corrigée si nuit]]-(1+deb_dimJF)),0))*24</f>
        <v>0</v>
      </c>
      <c r="Q27" s="55">
        <f>(IF(WEEKDAY(Horaires356[[#This Row],[Date]],2)=7,MAX(0,MIN(fin_dimJF,Horaires356[[#This Row],[Fin corrigée si nuit]])-MAX(deb_dimJF,Horaires356[[#This Row],[début]])),0)+IF(WEEKDAY(Horaires356[[#This Row],[Date]],2)=6,MAX(0,Horaires356[[#This Row],[Fin corrigée si nuit]]-(1+deb_dimJF)),0))*24-
(IF(WEEKDAY(Horaires356[[#This Row],[Date]],2)=7,MAX(0,MIN(fin_dimJF,Horaires356[[#This Row],[PNP Fin corrigée]])-MAX(deb_dimJF,Horaires356[[#This Row],[PNP Début corrigé]])),0)+IF(WEEKDAY(Horaires356[[#This Row],[Date]],2)=6,MAX(0,Horaires356[[#This Row],[PNP Fin corrigée]]-(1+deb_dimJF)),0))*24</f>
        <v>0</v>
      </c>
      <c r="R27" s="55">
        <f>(IF(COUNTIF(JF,Horaires356[[#This Row],[Date]]),MAX(0,MIN(fin_dimJF,Horaires356[[#This Row],[Fin corrigée si nuit]])-MAX(deb_dimJF,Horaires356[[#This Row],[début]])),0)+IF(COUNTIF(JF,Horaires356[[#This Row],[Date]]+1),MAX(0,Horaires356[[#This Row],[Fin corrigée si nuit]]-(1+deb_dimJF)),0))*24</f>
        <v>0</v>
      </c>
      <c r="S27" s="55">
        <f>(IF(COUNTIF(JF,Horaires356[[#This Row],[Date]]),MAX(0,MIN(fin_dimJF,Horaires356[[#This Row],[Fin corrigée si nuit]])-MAX(deb_dimJF,Horaires356[[#This Row],[début]])),0)+IF(COUNTIF(JF,Horaires356[[#This Row],[Date]]+1),MAX(0,Horaires356[[#This Row],[Fin corrigée si nuit]]-(1+deb_dimJF)),0))*24-
(IF(COUNTIF(JF,Horaires356[[#This Row],[Date]]),MAX(0,MIN(fin_dimJF,Horaires356[[#This Row],[PNP Fin corrigée]])-MAX(deb_dimJF,Horaires356[[#This Row],[PNP Début corrigé]])),0)+IF(COUNTIF(JF,Horaires356[[#This Row],[Date]]+1),MAX(0,Horaires356[[#This Row],[PNP Fin corrigée]]-(1+deb_dimJF)),0))*24</f>
        <v>0</v>
      </c>
    </row>
    <row r="28" spans="1:19" ht="14.4" customHeight="1" x14ac:dyDescent="0.35">
      <c r="A28" s="5"/>
      <c r="B28" s="1"/>
      <c r="C28" s="2"/>
      <c r="D28" s="2"/>
      <c r="E28" s="3"/>
      <c r="F28" s="3"/>
      <c r="G28" s="3"/>
      <c r="H28" s="3"/>
      <c r="I28" s="51">
        <f>0.1*(Horaires356[[#This Row],[Heures de nuit]]+Horaires356[[#This Row],[heures jour dimanche]]+Horaires356[[#This Row],[heures jour fériés]])</f>
        <v>0</v>
      </c>
      <c r="J28" s="52">
        <f>(MOD(Horaires356[[#This Row],[Fin]]-Horaires356[[#This Row],[début]],1)-MOD(Horaires356[[#This Row],[PNP Fin]]-Horaires356[[#This Row],[PNP Début]],1))*24</f>
        <v>0</v>
      </c>
      <c r="K28" s="53">
        <f>IF(Horaires356[[#This Row],[PNP Début]]=0,0,IF(Horaires356[[#This Row],[PNP Début]]&lt;Horaires356[[#This Row],[début]],1,0)+Horaires356[[#This Row],[PNP Début]])</f>
        <v>0</v>
      </c>
      <c r="L28" s="54">
        <f>IF(Horaires356[[#This Row],[PNP Fin]]=0,0,IF(Horaires356[[#This Row],[PNP Fin]]&lt;Horaires356[[#This Row],[début]],1,0)+Horaires356[[#This Row],[PNP Fin]])</f>
        <v>0</v>
      </c>
      <c r="M28" s="54">
        <f>IF(Horaires356[[#This Row],[Fin]]&lt;Horaires356[[#This Row],[début]],1,0)+Horaires356[[#This Row],[Fin]]</f>
        <v>0</v>
      </c>
      <c r="N28" s="35">
        <f>IF(Horaires356[[#This Row],[Fin]]&lt;Horaires356[[#This Row],[début]],MAX(0,MIN(Horaires356[[#This Row],[Fin corrigée si nuit]],fin_nuit)-MAX(Horaires356[[#This Row],[début]],deb_nuit))*24,(MAX(deb_nuit,Horaires356[[#This Row],[Fin]])-MAX(deb_nuit,Horaires356[[#This Row],[début]])+MAX(MIN(fin_nuit-1,Horaires356[[#This Row],[Fin]])-MIN(fin_nuit-1,Horaires356[[#This Row],[début]]),0))*24)</f>
        <v>0</v>
      </c>
      <c r="O28" s="55">
        <f>(MAX(0,MIN(Horaires356[[#This Row],[Fin corrigée si nuit]],fin_nuit)-MAX(Horaires356[[#This Row],[début]],deb_nuit))-IF(Horaires356[[#This Row],[PNP Début]]=0,0,MIN(Horaires356[[#This Row],[PNP Fin corrigée]],fin_nuit)-MAX(Horaires356[[#This Row],[PNP Début corrigé]],deb_nuit)))*24</f>
        <v>0</v>
      </c>
      <c r="P28" s="55">
        <f>(IF(WEEKDAY(Horaires356[[#This Row],[Date]],2)=7,MAX(0,MIN(fin_dimJF,Horaires356[[#This Row],[Fin corrigée si nuit]])-MAX(deb_dimJF,Horaires356[[#This Row],[début]])),0)+IF(WEEKDAY(Horaires356[[#This Row],[Date]],2)=6,MAX(0,Horaires356[[#This Row],[Fin corrigée si nuit]]-(1+deb_dimJF)),0))*24</f>
        <v>0</v>
      </c>
      <c r="Q28" s="55">
        <f>(IF(WEEKDAY(Horaires356[[#This Row],[Date]],2)=7,MAX(0,MIN(fin_dimJF,Horaires356[[#This Row],[Fin corrigée si nuit]])-MAX(deb_dimJF,Horaires356[[#This Row],[début]])),0)+IF(WEEKDAY(Horaires356[[#This Row],[Date]],2)=6,MAX(0,Horaires356[[#This Row],[Fin corrigée si nuit]]-(1+deb_dimJF)),0))*24-
(IF(WEEKDAY(Horaires356[[#This Row],[Date]],2)=7,MAX(0,MIN(fin_dimJF,Horaires356[[#This Row],[PNP Fin corrigée]])-MAX(deb_dimJF,Horaires356[[#This Row],[PNP Début corrigé]])),0)+IF(WEEKDAY(Horaires356[[#This Row],[Date]],2)=6,MAX(0,Horaires356[[#This Row],[PNP Fin corrigée]]-(1+deb_dimJF)),0))*24</f>
        <v>0</v>
      </c>
      <c r="R28" s="55">
        <f>(IF(COUNTIF(JF,Horaires356[[#This Row],[Date]]),MAX(0,MIN(fin_dimJF,Horaires356[[#This Row],[Fin corrigée si nuit]])-MAX(deb_dimJF,Horaires356[[#This Row],[début]])),0)+IF(COUNTIF(JF,Horaires356[[#This Row],[Date]]+1),MAX(0,Horaires356[[#This Row],[Fin corrigée si nuit]]-(1+deb_dimJF)),0))*24</f>
        <v>0</v>
      </c>
      <c r="S28" s="55">
        <f>(IF(COUNTIF(JF,Horaires356[[#This Row],[Date]]),MAX(0,MIN(fin_dimJF,Horaires356[[#This Row],[Fin corrigée si nuit]])-MAX(deb_dimJF,Horaires356[[#This Row],[début]])),0)+IF(COUNTIF(JF,Horaires356[[#This Row],[Date]]+1),MAX(0,Horaires356[[#This Row],[Fin corrigée si nuit]]-(1+deb_dimJF)),0))*24-
(IF(COUNTIF(JF,Horaires356[[#This Row],[Date]]),MAX(0,MIN(fin_dimJF,Horaires356[[#This Row],[PNP Fin corrigée]])-MAX(deb_dimJF,Horaires356[[#This Row],[PNP Début corrigé]])),0)+IF(COUNTIF(JF,Horaires356[[#This Row],[Date]]+1),MAX(0,Horaires356[[#This Row],[PNP Fin corrigée]]-(1+deb_dimJF)),0))*24</f>
        <v>0</v>
      </c>
    </row>
    <row r="29" spans="1:19" ht="14.4" customHeight="1" x14ac:dyDescent="0.35">
      <c r="A29" s="5"/>
      <c r="B29" s="1"/>
      <c r="C29" s="2"/>
      <c r="D29" s="2"/>
      <c r="E29" s="3"/>
      <c r="F29" s="3"/>
      <c r="G29" s="3"/>
      <c r="H29" s="3"/>
      <c r="I29" s="51">
        <f>0.1*(Horaires356[[#This Row],[Heures de nuit]]+Horaires356[[#This Row],[heures jour dimanche]]+Horaires356[[#This Row],[heures jour fériés]])</f>
        <v>0</v>
      </c>
      <c r="J29" s="52">
        <f>(MOD(Horaires356[[#This Row],[Fin]]-Horaires356[[#This Row],[début]],1)-MOD(Horaires356[[#This Row],[PNP Fin]]-Horaires356[[#This Row],[PNP Début]],1))*24</f>
        <v>0</v>
      </c>
      <c r="K29" s="53">
        <f>IF(Horaires356[[#This Row],[PNP Début]]=0,0,IF(Horaires356[[#This Row],[PNP Début]]&lt;Horaires356[[#This Row],[début]],1,0)+Horaires356[[#This Row],[PNP Début]])</f>
        <v>0</v>
      </c>
      <c r="L29" s="54">
        <f>IF(Horaires356[[#This Row],[PNP Fin]]=0,0,IF(Horaires356[[#This Row],[PNP Fin]]&lt;Horaires356[[#This Row],[début]],1,0)+Horaires356[[#This Row],[PNP Fin]])</f>
        <v>0</v>
      </c>
      <c r="M29" s="54">
        <f>IF(Horaires356[[#This Row],[Fin]]&lt;Horaires356[[#This Row],[début]],1,0)+Horaires356[[#This Row],[Fin]]</f>
        <v>0</v>
      </c>
      <c r="N29" s="35">
        <f>IF(Horaires356[[#This Row],[Fin]]&lt;Horaires356[[#This Row],[début]],MAX(0,MIN(Horaires356[[#This Row],[Fin corrigée si nuit]],fin_nuit)-MAX(Horaires356[[#This Row],[début]],deb_nuit))*24,(MAX(deb_nuit,Horaires356[[#This Row],[Fin]])-MAX(deb_nuit,Horaires356[[#This Row],[début]])+MAX(MIN(fin_nuit-1,Horaires356[[#This Row],[Fin]])-MIN(fin_nuit-1,Horaires356[[#This Row],[début]]),0))*24)</f>
        <v>0</v>
      </c>
      <c r="O29" s="55">
        <f>(MAX(0,MIN(Horaires356[[#This Row],[Fin corrigée si nuit]],fin_nuit)-MAX(Horaires356[[#This Row],[début]],deb_nuit))-IF(Horaires356[[#This Row],[PNP Début]]=0,0,MIN(Horaires356[[#This Row],[PNP Fin corrigée]],fin_nuit)-MAX(Horaires356[[#This Row],[PNP Début corrigé]],deb_nuit)))*24</f>
        <v>0</v>
      </c>
      <c r="P29" s="55">
        <f>(IF(WEEKDAY(Horaires356[[#This Row],[Date]],2)=7,MAX(0,MIN(fin_dimJF,Horaires356[[#This Row],[Fin corrigée si nuit]])-MAX(deb_dimJF,Horaires356[[#This Row],[début]])),0)+IF(WEEKDAY(Horaires356[[#This Row],[Date]],2)=6,MAX(0,Horaires356[[#This Row],[Fin corrigée si nuit]]-(1+deb_dimJF)),0))*24</f>
        <v>0</v>
      </c>
      <c r="Q29" s="55">
        <f>(IF(WEEKDAY(Horaires356[[#This Row],[Date]],2)=7,MAX(0,MIN(fin_dimJF,Horaires356[[#This Row],[Fin corrigée si nuit]])-MAX(deb_dimJF,Horaires356[[#This Row],[début]])),0)+IF(WEEKDAY(Horaires356[[#This Row],[Date]],2)=6,MAX(0,Horaires356[[#This Row],[Fin corrigée si nuit]]-(1+deb_dimJF)),0))*24-
(IF(WEEKDAY(Horaires356[[#This Row],[Date]],2)=7,MAX(0,MIN(fin_dimJF,Horaires356[[#This Row],[PNP Fin corrigée]])-MAX(deb_dimJF,Horaires356[[#This Row],[PNP Début corrigé]])),0)+IF(WEEKDAY(Horaires356[[#This Row],[Date]],2)=6,MAX(0,Horaires356[[#This Row],[PNP Fin corrigée]]-(1+deb_dimJF)),0))*24</f>
        <v>0</v>
      </c>
      <c r="R29" s="55">
        <f>(IF(COUNTIF(JF,Horaires356[[#This Row],[Date]]),MAX(0,MIN(fin_dimJF,Horaires356[[#This Row],[Fin corrigée si nuit]])-MAX(deb_dimJF,Horaires356[[#This Row],[début]])),0)+IF(COUNTIF(JF,Horaires356[[#This Row],[Date]]+1),MAX(0,Horaires356[[#This Row],[Fin corrigée si nuit]]-(1+deb_dimJF)),0))*24</f>
        <v>0</v>
      </c>
      <c r="S29" s="55">
        <f>(IF(COUNTIF(JF,Horaires356[[#This Row],[Date]]),MAX(0,MIN(fin_dimJF,Horaires356[[#This Row],[Fin corrigée si nuit]])-MAX(deb_dimJF,Horaires356[[#This Row],[début]])),0)+IF(COUNTIF(JF,Horaires356[[#This Row],[Date]]+1),MAX(0,Horaires356[[#This Row],[Fin corrigée si nuit]]-(1+deb_dimJF)),0))*24-
(IF(COUNTIF(JF,Horaires356[[#This Row],[Date]]),MAX(0,MIN(fin_dimJF,Horaires356[[#This Row],[PNP Fin corrigée]])-MAX(deb_dimJF,Horaires356[[#This Row],[PNP Début corrigé]])),0)+IF(COUNTIF(JF,Horaires356[[#This Row],[Date]]+1),MAX(0,Horaires356[[#This Row],[PNP Fin corrigée]]-(1+deb_dimJF)),0))*24</f>
        <v>0</v>
      </c>
    </row>
    <row r="30" spans="1:19" ht="14.4" customHeight="1" x14ac:dyDescent="0.35">
      <c r="A30" s="5"/>
      <c r="B30" s="1"/>
      <c r="C30" s="2"/>
      <c r="D30" s="2"/>
      <c r="E30" s="3"/>
      <c r="F30" s="3"/>
      <c r="G30" s="3"/>
      <c r="H30" s="3"/>
      <c r="I30" s="51">
        <f>0.1*(Horaires356[[#This Row],[Heures de nuit]]+Horaires356[[#This Row],[heures jour dimanche]]+Horaires356[[#This Row],[heures jour fériés]])</f>
        <v>0</v>
      </c>
      <c r="J30" s="52">
        <f>(MOD(Horaires356[[#This Row],[Fin]]-Horaires356[[#This Row],[début]],1)-MOD(Horaires356[[#This Row],[PNP Fin]]-Horaires356[[#This Row],[PNP Début]],1))*24</f>
        <v>0</v>
      </c>
      <c r="K30" s="53">
        <f>IF(Horaires356[[#This Row],[PNP Début]]=0,0,IF(Horaires356[[#This Row],[PNP Début]]&lt;Horaires356[[#This Row],[début]],1,0)+Horaires356[[#This Row],[PNP Début]])</f>
        <v>0</v>
      </c>
      <c r="L30" s="54">
        <f>IF(Horaires356[[#This Row],[PNP Fin]]=0,0,IF(Horaires356[[#This Row],[PNP Fin]]&lt;Horaires356[[#This Row],[début]],1,0)+Horaires356[[#This Row],[PNP Fin]])</f>
        <v>0</v>
      </c>
      <c r="M30" s="54">
        <f>IF(Horaires356[[#This Row],[Fin]]&lt;Horaires356[[#This Row],[début]],1,0)+Horaires356[[#This Row],[Fin]]</f>
        <v>0</v>
      </c>
      <c r="N30" s="35">
        <f>IF(Horaires356[[#This Row],[Fin]]&lt;Horaires356[[#This Row],[début]],MAX(0,MIN(Horaires356[[#This Row],[Fin corrigée si nuit]],fin_nuit)-MAX(Horaires356[[#This Row],[début]],deb_nuit))*24,(MAX(deb_nuit,Horaires356[[#This Row],[Fin]])-MAX(deb_nuit,Horaires356[[#This Row],[début]])+MAX(MIN(fin_nuit-1,Horaires356[[#This Row],[Fin]])-MIN(fin_nuit-1,Horaires356[[#This Row],[début]]),0))*24)</f>
        <v>0</v>
      </c>
      <c r="O30" s="55">
        <f>(MAX(0,MIN(Horaires356[[#This Row],[Fin corrigée si nuit]],fin_nuit)-MAX(Horaires356[[#This Row],[début]],deb_nuit))-IF(Horaires356[[#This Row],[PNP Début]]=0,0,MIN(Horaires356[[#This Row],[PNP Fin corrigée]],fin_nuit)-MAX(Horaires356[[#This Row],[PNP Début corrigé]],deb_nuit)))*24</f>
        <v>0</v>
      </c>
      <c r="P30" s="55">
        <f>(IF(WEEKDAY(Horaires356[[#This Row],[Date]],2)=7,MAX(0,MIN(fin_dimJF,Horaires356[[#This Row],[Fin corrigée si nuit]])-MAX(deb_dimJF,Horaires356[[#This Row],[début]])),0)+IF(WEEKDAY(Horaires356[[#This Row],[Date]],2)=6,MAX(0,Horaires356[[#This Row],[Fin corrigée si nuit]]-(1+deb_dimJF)),0))*24</f>
        <v>0</v>
      </c>
      <c r="Q30" s="55">
        <f>(IF(WEEKDAY(Horaires356[[#This Row],[Date]],2)=7,MAX(0,MIN(fin_dimJF,Horaires356[[#This Row],[Fin corrigée si nuit]])-MAX(deb_dimJF,Horaires356[[#This Row],[début]])),0)+IF(WEEKDAY(Horaires356[[#This Row],[Date]],2)=6,MAX(0,Horaires356[[#This Row],[Fin corrigée si nuit]]-(1+deb_dimJF)),0))*24-
(IF(WEEKDAY(Horaires356[[#This Row],[Date]],2)=7,MAX(0,MIN(fin_dimJF,Horaires356[[#This Row],[PNP Fin corrigée]])-MAX(deb_dimJF,Horaires356[[#This Row],[PNP Début corrigé]])),0)+IF(WEEKDAY(Horaires356[[#This Row],[Date]],2)=6,MAX(0,Horaires356[[#This Row],[PNP Fin corrigée]]-(1+deb_dimJF)),0))*24</f>
        <v>0</v>
      </c>
      <c r="R30" s="55">
        <f>(IF(COUNTIF(JF,Horaires356[[#This Row],[Date]]),MAX(0,MIN(fin_dimJF,Horaires356[[#This Row],[Fin corrigée si nuit]])-MAX(deb_dimJF,Horaires356[[#This Row],[début]])),0)+IF(COUNTIF(JF,Horaires356[[#This Row],[Date]]+1),MAX(0,Horaires356[[#This Row],[Fin corrigée si nuit]]-(1+deb_dimJF)),0))*24</f>
        <v>0</v>
      </c>
      <c r="S30" s="55">
        <f>(IF(COUNTIF(JF,Horaires356[[#This Row],[Date]]),MAX(0,MIN(fin_dimJF,Horaires356[[#This Row],[Fin corrigée si nuit]])-MAX(deb_dimJF,Horaires356[[#This Row],[début]])),0)+IF(COUNTIF(JF,Horaires356[[#This Row],[Date]]+1),MAX(0,Horaires356[[#This Row],[Fin corrigée si nuit]]-(1+deb_dimJF)),0))*24-
(IF(COUNTIF(JF,Horaires356[[#This Row],[Date]]),MAX(0,MIN(fin_dimJF,Horaires356[[#This Row],[PNP Fin corrigée]])-MAX(deb_dimJF,Horaires356[[#This Row],[PNP Début corrigé]])),0)+IF(COUNTIF(JF,Horaires356[[#This Row],[Date]]+1),MAX(0,Horaires356[[#This Row],[PNP Fin corrigée]]-(1+deb_dimJF)),0))*24</f>
        <v>0</v>
      </c>
    </row>
    <row r="31" spans="1:19" ht="14.4" customHeight="1" x14ac:dyDescent="0.35">
      <c r="A31" s="5"/>
      <c r="B31" s="1"/>
      <c r="C31" s="2"/>
      <c r="D31" s="2"/>
      <c r="E31" s="3"/>
      <c r="F31" s="3"/>
      <c r="G31" s="3"/>
      <c r="H31" s="3"/>
      <c r="I31" s="51">
        <f>0.1*(Horaires356[[#This Row],[Heures de nuit]]+Horaires356[[#This Row],[heures jour dimanche]]+Horaires356[[#This Row],[heures jour fériés]])</f>
        <v>0</v>
      </c>
      <c r="J31" s="52">
        <f>(MOD(Horaires356[[#This Row],[Fin]]-Horaires356[[#This Row],[début]],1)-MOD(Horaires356[[#This Row],[PNP Fin]]-Horaires356[[#This Row],[PNP Début]],1))*24</f>
        <v>0</v>
      </c>
      <c r="K31" s="53">
        <f>IF(Horaires356[[#This Row],[PNP Début]]=0,0,IF(Horaires356[[#This Row],[PNP Début]]&lt;Horaires356[[#This Row],[début]],1,0)+Horaires356[[#This Row],[PNP Début]])</f>
        <v>0</v>
      </c>
      <c r="L31" s="54">
        <f>IF(Horaires356[[#This Row],[PNP Fin]]=0,0,IF(Horaires356[[#This Row],[PNP Fin]]&lt;Horaires356[[#This Row],[début]],1,0)+Horaires356[[#This Row],[PNP Fin]])</f>
        <v>0</v>
      </c>
      <c r="M31" s="54">
        <f>IF(Horaires356[[#This Row],[Fin]]&lt;Horaires356[[#This Row],[début]],1,0)+Horaires356[[#This Row],[Fin]]</f>
        <v>0</v>
      </c>
      <c r="N31" s="35">
        <f>IF(Horaires356[[#This Row],[Fin]]&lt;Horaires356[[#This Row],[début]],MAX(0,MIN(Horaires356[[#This Row],[Fin corrigée si nuit]],fin_nuit)-MAX(Horaires356[[#This Row],[début]],deb_nuit))*24,(MAX(deb_nuit,Horaires356[[#This Row],[Fin]])-MAX(deb_nuit,Horaires356[[#This Row],[début]])+MAX(MIN(fin_nuit-1,Horaires356[[#This Row],[Fin]])-MIN(fin_nuit-1,Horaires356[[#This Row],[début]]),0))*24)</f>
        <v>0</v>
      </c>
      <c r="O31" s="55">
        <f>(MAX(0,MIN(Horaires356[[#This Row],[Fin corrigée si nuit]],fin_nuit)-MAX(Horaires356[[#This Row],[début]],deb_nuit))-IF(Horaires356[[#This Row],[PNP Début]]=0,0,MIN(Horaires356[[#This Row],[PNP Fin corrigée]],fin_nuit)-MAX(Horaires356[[#This Row],[PNP Début corrigé]],deb_nuit)))*24</f>
        <v>0</v>
      </c>
      <c r="P31" s="55">
        <f>(IF(WEEKDAY(Horaires356[[#This Row],[Date]],2)=7,MAX(0,MIN(fin_dimJF,Horaires356[[#This Row],[Fin corrigée si nuit]])-MAX(deb_dimJF,Horaires356[[#This Row],[début]])),0)+IF(WEEKDAY(Horaires356[[#This Row],[Date]],2)=6,MAX(0,Horaires356[[#This Row],[Fin corrigée si nuit]]-(1+deb_dimJF)),0))*24</f>
        <v>0</v>
      </c>
      <c r="Q31" s="55">
        <f>(IF(WEEKDAY(Horaires356[[#This Row],[Date]],2)=7,MAX(0,MIN(fin_dimJF,Horaires356[[#This Row],[Fin corrigée si nuit]])-MAX(deb_dimJF,Horaires356[[#This Row],[début]])),0)+IF(WEEKDAY(Horaires356[[#This Row],[Date]],2)=6,MAX(0,Horaires356[[#This Row],[Fin corrigée si nuit]]-(1+deb_dimJF)),0))*24-
(IF(WEEKDAY(Horaires356[[#This Row],[Date]],2)=7,MAX(0,MIN(fin_dimJF,Horaires356[[#This Row],[PNP Fin corrigée]])-MAX(deb_dimJF,Horaires356[[#This Row],[PNP Début corrigé]])),0)+IF(WEEKDAY(Horaires356[[#This Row],[Date]],2)=6,MAX(0,Horaires356[[#This Row],[PNP Fin corrigée]]-(1+deb_dimJF)),0))*24</f>
        <v>0</v>
      </c>
      <c r="R31" s="55">
        <f>(IF(COUNTIF(JF,Horaires356[[#This Row],[Date]]),MAX(0,MIN(fin_dimJF,Horaires356[[#This Row],[Fin corrigée si nuit]])-MAX(deb_dimJF,Horaires356[[#This Row],[début]])),0)+IF(COUNTIF(JF,Horaires356[[#This Row],[Date]]+1),MAX(0,Horaires356[[#This Row],[Fin corrigée si nuit]]-(1+deb_dimJF)),0))*24</f>
        <v>0</v>
      </c>
      <c r="S31" s="55">
        <f>(IF(COUNTIF(JF,Horaires356[[#This Row],[Date]]),MAX(0,MIN(fin_dimJF,Horaires356[[#This Row],[Fin corrigée si nuit]])-MAX(deb_dimJF,Horaires356[[#This Row],[début]])),0)+IF(COUNTIF(JF,Horaires356[[#This Row],[Date]]+1),MAX(0,Horaires356[[#This Row],[Fin corrigée si nuit]]-(1+deb_dimJF)),0))*24-
(IF(COUNTIF(JF,Horaires356[[#This Row],[Date]]),MAX(0,MIN(fin_dimJF,Horaires356[[#This Row],[PNP Fin corrigée]])-MAX(deb_dimJF,Horaires356[[#This Row],[PNP Début corrigé]])),0)+IF(COUNTIF(JF,Horaires356[[#This Row],[Date]]+1),MAX(0,Horaires356[[#This Row],[PNP Fin corrigée]]-(1+deb_dimJF)),0))*24</f>
        <v>0</v>
      </c>
    </row>
    <row r="32" spans="1:19" ht="14.5" customHeight="1" x14ac:dyDescent="0.35">
      <c r="A32" s="5"/>
      <c r="B32" s="1"/>
      <c r="C32" s="2"/>
      <c r="D32" s="2"/>
      <c r="E32" s="3"/>
      <c r="F32" s="3"/>
      <c r="G32" s="3"/>
      <c r="H32" s="3"/>
      <c r="I32" s="51">
        <f>0.1*(Horaires356[[#This Row],[Heures de nuit]]+Horaires356[[#This Row],[heures jour dimanche]]+Horaires356[[#This Row],[heures jour fériés]])</f>
        <v>0</v>
      </c>
      <c r="J32" s="52">
        <f>(MOD(Horaires356[[#This Row],[Fin]]-Horaires356[[#This Row],[début]],1)-MOD(Horaires356[[#This Row],[PNP Fin]]-Horaires356[[#This Row],[PNP Début]],1))*24</f>
        <v>0</v>
      </c>
      <c r="K32" s="53">
        <f>IF(Horaires356[[#This Row],[PNP Début]]=0,0,IF(Horaires356[[#This Row],[PNP Début]]&lt;Horaires356[[#This Row],[début]],1,0)+Horaires356[[#This Row],[PNP Début]])</f>
        <v>0</v>
      </c>
      <c r="L32" s="54">
        <f>IF(Horaires356[[#This Row],[PNP Fin]]=0,0,IF(Horaires356[[#This Row],[PNP Fin]]&lt;Horaires356[[#This Row],[début]],1,0)+Horaires356[[#This Row],[PNP Fin]])</f>
        <v>0</v>
      </c>
      <c r="M32" s="54">
        <f>IF(Horaires356[[#This Row],[Fin]]&lt;Horaires356[[#This Row],[début]],1,0)+Horaires356[[#This Row],[Fin]]</f>
        <v>0</v>
      </c>
      <c r="N32" s="35">
        <f>IF(Horaires356[[#This Row],[Fin]]&lt;Horaires356[[#This Row],[début]],MAX(0,MIN(Horaires356[[#This Row],[Fin corrigée si nuit]],fin_nuit)-MAX(Horaires356[[#This Row],[début]],deb_nuit))*24,(MAX(deb_nuit,Horaires356[[#This Row],[Fin]])-MAX(deb_nuit,Horaires356[[#This Row],[début]])+MAX(MIN(fin_nuit-1,Horaires356[[#This Row],[Fin]])-MIN(fin_nuit-1,Horaires356[[#This Row],[début]]),0))*24)</f>
        <v>0</v>
      </c>
      <c r="O32" s="55">
        <f>(MAX(0,MIN(Horaires356[[#This Row],[Fin corrigée si nuit]],fin_nuit)-MAX(Horaires356[[#This Row],[début]],deb_nuit))-IF(Horaires356[[#This Row],[PNP Début]]=0,0,MIN(Horaires356[[#This Row],[PNP Fin corrigée]],fin_nuit)-MAX(Horaires356[[#This Row],[PNP Début corrigé]],deb_nuit)))*24</f>
        <v>0</v>
      </c>
      <c r="P32" s="55">
        <f>(IF(WEEKDAY(Horaires356[[#This Row],[Date]],2)=7,MAX(0,MIN(fin_dimJF,Horaires356[[#This Row],[Fin corrigée si nuit]])-MAX(deb_dimJF,Horaires356[[#This Row],[début]])),0)+IF(WEEKDAY(Horaires356[[#This Row],[Date]],2)=6,MAX(0,Horaires356[[#This Row],[Fin corrigée si nuit]]-(1+deb_dimJF)),0))*24</f>
        <v>0</v>
      </c>
      <c r="Q32" s="55">
        <f>(IF(WEEKDAY(Horaires356[[#This Row],[Date]],2)=7,MAX(0,MIN(fin_dimJF,Horaires356[[#This Row],[Fin corrigée si nuit]])-MAX(deb_dimJF,Horaires356[[#This Row],[début]])),0)+IF(WEEKDAY(Horaires356[[#This Row],[Date]],2)=6,MAX(0,Horaires356[[#This Row],[Fin corrigée si nuit]]-(1+deb_dimJF)),0))*24-
(IF(WEEKDAY(Horaires356[[#This Row],[Date]],2)=7,MAX(0,MIN(fin_dimJF,Horaires356[[#This Row],[PNP Fin corrigée]])-MAX(deb_dimJF,Horaires356[[#This Row],[PNP Début corrigé]])),0)+IF(WEEKDAY(Horaires356[[#This Row],[Date]],2)=6,MAX(0,Horaires356[[#This Row],[PNP Fin corrigée]]-(1+deb_dimJF)),0))*24</f>
        <v>0</v>
      </c>
      <c r="R32" s="55">
        <f>(IF(COUNTIF(JF,Horaires356[[#This Row],[Date]]),MAX(0,MIN(fin_dimJF,Horaires356[[#This Row],[Fin corrigée si nuit]])-MAX(deb_dimJF,Horaires356[[#This Row],[début]])),0)+IF(COUNTIF(JF,Horaires356[[#This Row],[Date]]+1),MAX(0,Horaires356[[#This Row],[Fin corrigée si nuit]]-(1+deb_dimJF)),0))*24</f>
        <v>0</v>
      </c>
      <c r="S32" s="55">
        <f>(IF(COUNTIF(JF,Horaires356[[#This Row],[Date]]),MAX(0,MIN(fin_dimJF,Horaires356[[#This Row],[Fin corrigée si nuit]])-MAX(deb_dimJF,Horaires356[[#This Row],[début]])),0)+IF(COUNTIF(JF,Horaires356[[#This Row],[Date]]+1),MAX(0,Horaires356[[#This Row],[Fin corrigée si nuit]]-(1+deb_dimJF)),0))*24-
(IF(COUNTIF(JF,Horaires356[[#This Row],[Date]]),MAX(0,MIN(fin_dimJF,Horaires356[[#This Row],[PNP Fin corrigée]])-MAX(deb_dimJF,Horaires356[[#This Row],[PNP Début corrigé]])),0)+IF(COUNTIF(JF,Horaires356[[#This Row],[Date]]+1),MAX(0,Horaires356[[#This Row],[PNP Fin corrigée]]-(1+deb_dimJF)),0))*24</f>
        <v>0</v>
      </c>
    </row>
    <row r="33" spans="1:19" x14ac:dyDescent="0.35">
      <c r="A33" s="5"/>
      <c r="B33" s="1"/>
      <c r="C33" s="2"/>
      <c r="D33" s="2"/>
      <c r="E33" s="3"/>
      <c r="F33" s="3"/>
      <c r="G33" s="3"/>
      <c r="H33" s="3"/>
      <c r="I33" s="51">
        <f>0.1*(Horaires356[[#This Row],[Heures de nuit]]+Horaires356[[#This Row],[heures jour dimanche]]+Horaires356[[#This Row],[heures jour fériés]])</f>
        <v>0</v>
      </c>
      <c r="J33" s="52">
        <f>(MOD(Horaires356[[#This Row],[Fin]]-Horaires356[[#This Row],[début]],1)-MOD(Horaires356[[#This Row],[PNP Fin]]-Horaires356[[#This Row],[PNP Début]],1))*24</f>
        <v>0</v>
      </c>
      <c r="K33" s="53">
        <f>IF(Horaires356[[#This Row],[PNP Début]]=0,0,IF(Horaires356[[#This Row],[PNP Début]]&lt;Horaires356[[#This Row],[début]],1,0)+Horaires356[[#This Row],[PNP Début]])</f>
        <v>0</v>
      </c>
      <c r="L33" s="54">
        <f>IF(Horaires356[[#This Row],[PNP Fin]]=0,0,IF(Horaires356[[#This Row],[PNP Fin]]&lt;Horaires356[[#This Row],[début]],1,0)+Horaires356[[#This Row],[PNP Fin]])</f>
        <v>0</v>
      </c>
      <c r="M33" s="54">
        <f>IF(Horaires356[[#This Row],[Fin]]&lt;Horaires356[[#This Row],[début]],1,0)+Horaires356[[#This Row],[Fin]]</f>
        <v>0</v>
      </c>
      <c r="N33" s="35">
        <f>IF(Horaires356[[#This Row],[Fin]]&lt;Horaires356[[#This Row],[début]],MAX(0,MIN(Horaires356[[#This Row],[Fin corrigée si nuit]],fin_nuit)-MAX(Horaires356[[#This Row],[début]],deb_nuit))*24,(MAX(deb_nuit,Horaires356[[#This Row],[Fin]])-MAX(deb_nuit,Horaires356[[#This Row],[début]])+MAX(MIN(fin_nuit-1,Horaires356[[#This Row],[Fin]])-MIN(fin_nuit-1,Horaires356[[#This Row],[début]]),0))*24)</f>
        <v>0</v>
      </c>
      <c r="O33" s="55">
        <f>(MAX(0,MIN(Horaires356[[#This Row],[Fin corrigée si nuit]],fin_nuit)-MAX(Horaires356[[#This Row],[début]],deb_nuit))-IF(Horaires356[[#This Row],[PNP Début]]=0,0,MIN(Horaires356[[#This Row],[PNP Fin corrigée]],fin_nuit)-MAX(Horaires356[[#This Row],[PNP Début corrigé]],deb_nuit)))*24</f>
        <v>0</v>
      </c>
      <c r="P33" s="55">
        <f>(IF(WEEKDAY(Horaires356[[#This Row],[Date]],2)=7,MAX(0,MIN(fin_dimJF,Horaires356[[#This Row],[Fin corrigée si nuit]])-MAX(deb_dimJF,Horaires356[[#This Row],[début]])),0)+IF(WEEKDAY(Horaires356[[#This Row],[Date]],2)=6,MAX(0,Horaires356[[#This Row],[Fin corrigée si nuit]]-(1+deb_dimJF)),0))*24</f>
        <v>0</v>
      </c>
      <c r="Q33" s="55">
        <f>(IF(WEEKDAY(Horaires356[[#This Row],[Date]],2)=7,MAX(0,MIN(fin_dimJF,Horaires356[[#This Row],[Fin corrigée si nuit]])-MAX(deb_dimJF,Horaires356[[#This Row],[début]])),0)+IF(WEEKDAY(Horaires356[[#This Row],[Date]],2)=6,MAX(0,Horaires356[[#This Row],[Fin corrigée si nuit]]-(1+deb_dimJF)),0))*24-
(IF(WEEKDAY(Horaires356[[#This Row],[Date]],2)=7,MAX(0,MIN(fin_dimJF,Horaires356[[#This Row],[PNP Fin corrigée]])-MAX(deb_dimJF,Horaires356[[#This Row],[PNP Début corrigé]])),0)+IF(WEEKDAY(Horaires356[[#This Row],[Date]],2)=6,MAX(0,Horaires356[[#This Row],[PNP Fin corrigée]]-(1+deb_dimJF)),0))*24</f>
        <v>0</v>
      </c>
      <c r="R33" s="55">
        <f>(IF(COUNTIF(JF,Horaires356[[#This Row],[Date]]),MAX(0,MIN(fin_dimJF,Horaires356[[#This Row],[Fin corrigée si nuit]])-MAX(deb_dimJF,Horaires356[[#This Row],[début]])),0)+IF(COUNTIF(JF,Horaires356[[#This Row],[Date]]+1),MAX(0,Horaires356[[#This Row],[Fin corrigée si nuit]]-(1+deb_dimJF)),0))*24</f>
        <v>0</v>
      </c>
      <c r="S33" s="55">
        <f>(IF(COUNTIF(JF,Horaires356[[#This Row],[Date]]),MAX(0,MIN(fin_dimJF,Horaires356[[#This Row],[Fin corrigée si nuit]])-MAX(deb_dimJF,Horaires356[[#This Row],[début]])),0)+IF(COUNTIF(JF,Horaires356[[#This Row],[Date]]+1),MAX(0,Horaires356[[#This Row],[Fin corrigée si nuit]]-(1+deb_dimJF)),0))*24-
(IF(COUNTIF(JF,Horaires356[[#This Row],[Date]]),MAX(0,MIN(fin_dimJF,Horaires356[[#This Row],[PNP Fin corrigée]])-MAX(deb_dimJF,Horaires356[[#This Row],[PNP Début corrigé]])),0)+IF(COUNTIF(JF,Horaires356[[#This Row],[Date]]+1),MAX(0,Horaires356[[#This Row],[PNP Fin corrigée]]-(1+deb_dimJF)),0))*24</f>
        <v>0</v>
      </c>
    </row>
    <row r="34" spans="1:19" x14ac:dyDescent="0.35">
      <c r="A34" s="5"/>
      <c r="B34" s="1"/>
      <c r="C34" s="2"/>
      <c r="D34" s="2"/>
      <c r="E34" s="3"/>
      <c r="F34" s="3"/>
      <c r="G34" s="3"/>
      <c r="H34" s="3"/>
      <c r="I34" s="51">
        <f>0.1*(Horaires356[[#This Row],[Heures de nuit]]+Horaires356[[#This Row],[heures jour dimanche]]+Horaires356[[#This Row],[heures jour fériés]])</f>
        <v>0</v>
      </c>
      <c r="J34" s="52">
        <f>(MOD(Horaires356[[#This Row],[Fin]]-Horaires356[[#This Row],[début]],1)-MOD(Horaires356[[#This Row],[PNP Fin]]-Horaires356[[#This Row],[PNP Début]],1))*24</f>
        <v>0</v>
      </c>
      <c r="K34" s="53">
        <f>IF(Horaires356[[#This Row],[PNP Début]]=0,0,IF(Horaires356[[#This Row],[PNP Début]]&lt;Horaires356[[#This Row],[début]],1,0)+Horaires356[[#This Row],[PNP Début]])</f>
        <v>0</v>
      </c>
      <c r="L34" s="54">
        <f>IF(Horaires356[[#This Row],[PNP Fin]]=0,0,IF(Horaires356[[#This Row],[PNP Fin]]&lt;Horaires356[[#This Row],[début]],1,0)+Horaires356[[#This Row],[PNP Fin]])</f>
        <v>0</v>
      </c>
      <c r="M34" s="54">
        <f>IF(Horaires356[[#This Row],[Fin]]&lt;Horaires356[[#This Row],[début]],1,0)+Horaires356[[#This Row],[Fin]]</f>
        <v>0</v>
      </c>
      <c r="N34" s="35">
        <f>IF(Horaires356[[#This Row],[Fin]]&lt;Horaires356[[#This Row],[début]],MAX(0,MIN(Horaires356[[#This Row],[Fin corrigée si nuit]],fin_nuit)-MAX(Horaires356[[#This Row],[début]],deb_nuit))*24,(MAX(deb_nuit,Horaires356[[#This Row],[Fin]])-MAX(deb_nuit,Horaires356[[#This Row],[début]])+MAX(MIN(fin_nuit-1,Horaires356[[#This Row],[Fin]])-MIN(fin_nuit-1,Horaires356[[#This Row],[début]]),0))*24)</f>
        <v>0</v>
      </c>
      <c r="O34" s="55">
        <f>(MAX(0,MIN(Horaires356[[#This Row],[Fin corrigée si nuit]],fin_nuit)-MAX(Horaires356[[#This Row],[début]],deb_nuit))-IF(Horaires356[[#This Row],[PNP Début]]=0,0,MIN(Horaires356[[#This Row],[PNP Fin corrigée]],fin_nuit)-MAX(Horaires356[[#This Row],[PNP Début corrigé]],deb_nuit)))*24</f>
        <v>0</v>
      </c>
      <c r="P34" s="55">
        <f>(IF(WEEKDAY(Horaires356[[#This Row],[Date]],2)=7,MAX(0,MIN(fin_dimJF,Horaires356[[#This Row],[Fin corrigée si nuit]])-MAX(deb_dimJF,Horaires356[[#This Row],[début]])),0)+IF(WEEKDAY(Horaires356[[#This Row],[Date]],2)=6,MAX(0,Horaires356[[#This Row],[Fin corrigée si nuit]]-(1+deb_dimJF)),0))*24</f>
        <v>0</v>
      </c>
      <c r="Q34" s="55">
        <f>(IF(WEEKDAY(Horaires356[[#This Row],[Date]],2)=7,MAX(0,MIN(fin_dimJF,Horaires356[[#This Row],[Fin corrigée si nuit]])-MAX(deb_dimJF,Horaires356[[#This Row],[début]])),0)+IF(WEEKDAY(Horaires356[[#This Row],[Date]],2)=6,MAX(0,Horaires356[[#This Row],[Fin corrigée si nuit]]-(1+deb_dimJF)),0))*24-
(IF(WEEKDAY(Horaires356[[#This Row],[Date]],2)=7,MAX(0,MIN(fin_dimJF,Horaires356[[#This Row],[PNP Fin corrigée]])-MAX(deb_dimJF,Horaires356[[#This Row],[PNP Début corrigé]])),0)+IF(WEEKDAY(Horaires356[[#This Row],[Date]],2)=6,MAX(0,Horaires356[[#This Row],[PNP Fin corrigée]]-(1+deb_dimJF)),0))*24</f>
        <v>0</v>
      </c>
      <c r="R34" s="55">
        <f>(IF(COUNTIF(JF,Horaires356[[#This Row],[Date]]),MAX(0,MIN(fin_dimJF,Horaires356[[#This Row],[Fin corrigée si nuit]])-MAX(deb_dimJF,Horaires356[[#This Row],[début]])),0)+IF(COUNTIF(JF,Horaires356[[#This Row],[Date]]+1),MAX(0,Horaires356[[#This Row],[Fin corrigée si nuit]]-(1+deb_dimJF)),0))*24</f>
        <v>0</v>
      </c>
      <c r="S34" s="55">
        <f>(IF(COUNTIF(JF,Horaires356[[#This Row],[Date]]),MAX(0,MIN(fin_dimJF,Horaires356[[#This Row],[Fin corrigée si nuit]])-MAX(deb_dimJF,Horaires356[[#This Row],[début]])),0)+IF(COUNTIF(JF,Horaires356[[#This Row],[Date]]+1),MAX(0,Horaires356[[#This Row],[Fin corrigée si nuit]]-(1+deb_dimJF)),0))*24-
(IF(COUNTIF(JF,Horaires356[[#This Row],[Date]]),MAX(0,MIN(fin_dimJF,Horaires356[[#This Row],[PNP Fin corrigée]])-MAX(deb_dimJF,Horaires356[[#This Row],[PNP Début corrigé]])),0)+IF(COUNTIF(JF,Horaires356[[#This Row],[Date]]+1),MAX(0,Horaires356[[#This Row],[PNP Fin corrigée]]-(1+deb_dimJF)),0))*24</f>
        <v>0</v>
      </c>
    </row>
    <row r="35" spans="1:19" x14ac:dyDescent="0.35">
      <c r="A35" s="5"/>
      <c r="B35" s="1"/>
      <c r="C35" s="2"/>
      <c r="D35" s="2"/>
      <c r="E35" s="3"/>
      <c r="F35" s="3"/>
      <c r="G35" s="3"/>
      <c r="H35" s="3"/>
      <c r="I35" s="51">
        <f>0.1*(Horaires356[[#This Row],[Heures de nuit]]+Horaires356[[#This Row],[heures jour dimanche]]+Horaires356[[#This Row],[heures jour fériés]])</f>
        <v>0</v>
      </c>
      <c r="J35" s="52">
        <f>(MOD(Horaires356[[#This Row],[Fin]]-Horaires356[[#This Row],[début]],1)-MOD(Horaires356[[#This Row],[PNP Fin]]-Horaires356[[#This Row],[PNP Début]],1))*24</f>
        <v>0</v>
      </c>
      <c r="K35" s="53">
        <f>IF(Horaires356[[#This Row],[PNP Début]]=0,0,IF(Horaires356[[#This Row],[PNP Début]]&lt;Horaires356[[#This Row],[début]],1,0)+Horaires356[[#This Row],[PNP Début]])</f>
        <v>0</v>
      </c>
      <c r="L35" s="54">
        <f>IF(Horaires356[[#This Row],[PNP Fin]]=0,0,IF(Horaires356[[#This Row],[PNP Fin]]&lt;Horaires356[[#This Row],[début]],1,0)+Horaires356[[#This Row],[PNP Fin]])</f>
        <v>0</v>
      </c>
      <c r="M35" s="54">
        <f>IF(Horaires356[[#This Row],[Fin]]&lt;Horaires356[[#This Row],[début]],1,0)+Horaires356[[#This Row],[Fin]]</f>
        <v>0</v>
      </c>
      <c r="N35" s="35">
        <f>IF(Horaires356[[#This Row],[Fin]]&lt;Horaires356[[#This Row],[début]],MAX(0,MIN(Horaires356[[#This Row],[Fin corrigée si nuit]],fin_nuit)-MAX(Horaires356[[#This Row],[début]],deb_nuit))*24,(MAX(deb_nuit,Horaires356[[#This Row],[Fin]])-MAX(deb_nuit,Horaires356[[#This Row],[début]])+MAX(MIN(fin_nuit-1,Horaires356[[#This Row],[Fin]])-MIN(fin_nuit-1,Horaires356[[#This Row],[début]]),0))*24)</f>
        <v>0</v>
      </c>
      <c r="O35" s="55">
        <f>(MAX(0,MIN(Horaires356[[#This Row],[Fin corrigée si nuit]],fin_nuit)-MAX(Horaires356[[#This Row],[début]],deb_nuit))-IF(Horaires356[[#This Row],[PNP Début]]=0,0,MIN(Horaires356[[#This Row],[PNP Fin corrigée]],fin_nuit)-MAX(Horaires356[[#This Row],[PNP Début corrigé]],deb_nuit)))*24</f>
        <v>0</v>
      </c>
      <c r="P35" s="55">
        <f>(IF(WEEKDAY(Horaires356[[#This Row],[Date]],2)=7,MAX(0,MIN(fin_dimJF,Horaires356[[#This Row],[Fin corrigée si nuit]])-MAX(deb_dimJF,Horaires356[[#This Row],[début]])),0)+IF(WEEKDAY(Horaires356[[#This Row],[Date]],2)=6,MAX(0,Horaires356[[#This Row],[Fin corrigée si nuit]]-(1+deb_dimJF)),0))*24</f>
        <v>0</v>
      </c>
      <c r="Q35" s="55">
        <f>(IF(WEEKDAY(Horaires356[[#This Row],[Date]],2)=7,MAX(0,MIN(fin_dimJF,Horaires356[[#This Row],[Fin corrigée si nuit]])-MAX(deb_dimJF,Horaires356[[#This Row],[début]])),0)+IF(WEEKDAY(Horaires356[[#This Row],[Date]],2)=6,MAX(0,Horaires356[[#This Row],[Fin corrigée si nuit]]-(1+deb_dimJF)),0))*24-
(IF(WEEKDAY(Horaires356[[#This Row],[Date]],2)=7,MAX(0,MIN(fin_dimJF,Horaires356[[#This Row],[PNP Fin corrigée]])-MAX(deb_dimJF,Horaires356[[#This Row],[PNP Début corrigé]])),0)+IF(WEEKDAY(Horaires356[[#This Row],[Date]],2)=6,MAX(0,Horaires356[[#This Row],[PNP Fin corrigée]]-(1+deb_dimJF)),0))*24</f>
        <v>0</v>
      </c>
      <c r="R35" s="55">
        <f>(IF(COUNTIF(JF,Horaires356[[#This Row],[Date]]),MAX(0,MIN(fin_dimJF,Horaires356[[#This Row],[Fin corrigée si nuit]])-MAX(deb_dimJF,Horaires356[[#This Row],[début]])),0)+IF(COUNTIF(JF,Horaires356[[#This Row],[Date]]+1),MAX(0,Horaires356[[#This Row],[Fin corrigée si nuit]]-(1+deb_dimJF)),0))*24</f>
        <v>0</v>
      </c>
      <c r="S35" s="55">
        <f>(IF(COUNTIF(JF,Horaires356[[#This Row],[Date]]),MAX(0,MIN(fin_dimJF,Horaires356[[#This Row],[Fin corrigée si nuit]])-MAX(deb_dimJF,Horaires356[[#This Row],[début]])),0)+IF(COUNTIF(JF,Horaires356[[#This Row],[Date]]+1),MAX(0,Horaires356[[#This Row],[Fin corrigée si nuit]]-(1+deb_dimJF)),0))*24-
(IF(COUNTIF(JF,Horaires356[[#This Row],[Date]]),MAX(0,MIN(fin_dimJF,Horaires356[[#This Row],[PNP Fin corrigée]])-MAX(deb_dimJF,Horaires356[[#This Row],[PNP Début corrigé]])),0)+IF(COUNTIF(JF,Horaires356[[#This Row],[Date]]+1),MAX(0,Horaires356[[#This Row],[PNP Fin corrigée]]-(1+deb_dimJF)),0))*24</f>
        <v>0</v>
      </c>
    </row>
    <row r="36" spans="1:19" x14ac:dyDescent="0.35">
      <c r="A36" s="5"/>
      <c r="B36" s="1"/>
      <c r="C36" s="2"/>
      <c r="D36" s="2"/>
      <c r="E36" s="3"/>
      <c r="F36" s="3"/>
      <c r="G36" s="3"/>
      <c r="H36" s="3"/>
      <c r="I36" s="51">
        <f>0.1*(Horaires356[[#This Row],[Heures de nuit]]+Horaires356[[#This Row],[heures jour dimanche]]+Horaires356[[#This Row],[heures jour fériés]])</f>
        <v>0</v>
      </c>
      <c r="J36" s="52">
        <f>(MOD(Horaires356[[#This Row],[Fin]]-Horaires356[[#This Row],[début]],1)-MOD(Horaires356[[#This Row],[PNP Fin]]-Horaires356[[#This Row],[PNP Début]],1))*24</f>
        <v>0</v>
      </c>
      <c r="K36" s="53">
        <f>IF(Horaires356[[#This Row],[PNP Début]]=0,0,IF(Horaires356[[#This Row],[PNP Début]]&lt;Horaires356[[#This Row],[début]],1,0)+Horaires356[[#This Row],[PNP Début]])</f>
        <v>0</v>
      </c>
      <c r="L36" s="54">
        <f>IF(Horaires356[[#This Row],[PNP Fin]]=0,0,IF(Horaires356[[#This Row],[PNP Fin]]&lt;Horaires356[[#This Row],[début]],1,0)+Horaires356[[#This Row],[PNP Fin]])</f>
        <v>0</v>
      </c>
      <c r="M36" s="54">
        <f>IF(Horaires356[[#This Row],[Fin]]&lt;Horaires356[[#This Row],[début]],1,0)+Horaires356[[#This Row],[Fin]]</f>
        <v>0</v>
      </c>
      <c r="N36" s="35">
        <f>IF(Horaires356[[#This Row],[Fin]]&lt;Horaires356[[#This Row],[début]],MAX(0,MIN(Horaires356[[#This Row],[Fin corrigée si nuit]],fin_nuit)-MAX(Horaires356[[#This Row],[début]],deb_nuit))*24,(MAX(deb_nuit,Horaires356[[#This Row],[Fin]])-MAX(deb_nuit,Horaires356[[#This Row],[début]])+MAX(MIN(fin_nuit-1,Horaires356[[#This Row],[Fin]])-MIN(fin_nuit-1,Horaires356[[#This Row],[début]]),0))*24)</f>
        <v>0</v>
      </c>
      <c r="O36" s="55">
        <f>(MAX(0,MIN(Horaires356[[#This Row],[Fin corrigée si nuit]],fin_nuit)-MAX(Horaires356[[#This Row],[début]],deb_nuit))-IF(Horaires356[[#This Row],[PNP Début]]=0,0,MIN(Horaires356[[#This Row],[PNP Fin corrigée]],fin_nuit)-MAX(Horaires356[[#This Row],[PNP Début corrigé]],deb_nuit)))*24</f>
        <v>0</v>
      </c>
      <c r="P36" s="55">
        <f>(IF(WEEKDAY(Horaires356[[#This Row],[Date]],2)=7,MAX(0,MIN(fin_dimJF,Horaires356[[#This Row],[Fin corrigée si nuit]])-MAX(deb_dimJF,Horaires356[[#This Row],[début]])),0)+IF(WEEKDAY(Horaires356[[#This Row],[Date]],2)=6,MAX(0,Horaires356[[#This Row],[Fin corrigée si nuit]]-(1+deb_dimJF)),0))*24</f>
        <v>0</v>
      </c>
      <c r="Q36" s="55">
        <f>(IF(WEEKDAY(Horaires356[[#This Row],[Date]],2)=7,MAX(0,MIN(fin_dimJF,Horaires356[[#This Row],[Fin corrigée si nuit]])-MAX(deb_dimJF,Horaires356[[#This Row],[début]])),0)+IF(WEEKDAY(Horaires356[[#This Row],[Date]],2)=6,MAX(0,Horaires356[[#This Row],[Fin corrigée si nuit]]-(1+deb_dimJF)),0))*24-
(IF(WEEKDAY(Horaires356[[#This Row],[Date]],2)=7,MAX(0,MIN(fin_dimJF,Horaires356[[#This Row],[PNP Fin corrigée]])-MAX(deb_dimJF,Horaires356[[#This Row],[PNP Début corrigé]])),0)+IF(WEEKDAY(Horaires356[[#This Row],[Date]],2)=6,MAX(0,Horaires356[[#This Row],[PNP Fin corrigée]]-(1+deb_dimJF)),0))*24</f>
        <v>0</v>
      </c>
      <c r="R36" s="55">
        <f>(IF(COUNTIF(JF,Horaires356[[#This Row],[Date]]),MAX(0,MIN(fin_dimJF,Horaires356[[#This Row],[Fin corrigée si nuit]])-MAX(deb_dimJF,Horaires356[[#This Row],[début]])),0)+IF(COUNTIF(JF,Horaires356[[#This Row],[Date]]+1),MAX(0,Horaires356[[#This Row],[Fin corrigée si nuit]]-(1+deb_dimJF)),0))*24</f>
        <v>0</v>
      </c>
      <c r="S36" s="55">
        <f>(IF(COUNTIF(JF,Horaires356[[#This Row],[Date]]),MAX(0,MIN(fin_dimJF,Horaires356[[#This Row],[Fin corrigée si nuit]])-MAX(deb_dimJF,Horaires356[[#This Row],[début]])),0)+IF(COUNTIF(JF,Horaires356[[#This Row],[Date]]+1),MAX(0,Horaires356[[#This Row],[Fin corrigée si nuit]]-(1+deb_dimJF)),0))*24-
(IF(COUNTIF(JF,Horaires356[[#This Row],[Date]]),MAX(0,MIN(fin_dimJF,Horaires356[[#This Row],[PNP Fin corrigée]])-MAX(deb_dimJF,Horaires356[[#This Row],[PNP Début corrigé]])),0)+IF(COUNTIF(JF,Horaires356[[#This Row],[Date]]+1),MAX(0,Horaires356[[#This Row],[PNP Fin corrigée]]-(1+deb_dimJF)),0))*24</f>
        <v>0</v>
      </c>
    </row>
    <row r="37" spans="1:19" x14ac:dyDescent="0.35">
      <c r="A37" s="5"/>
      <c r="B37" s="1"/>
      <c r="C37" s="2"/>
      <c r="D37" s="2"/>
      <c r="E37" s="3"/>
      <c r="F37" s="3"/>
      <c r="G37" s="3"/>
      <c r="H37" s="3"/>
      <c r="I37" s="51">
        <f>0.1*(Horaires356[[#This Row],[Heures de nuit]]+Horaires356[[#This Row],[heures jour dimanche]]+Horaires356[[#This Row],[heures jour fériés]])</f>
        <v>0</v>
      </c>
      <c r="J37" s="52">
        <f>(MOD(Horaires356[[#This Row],[Fin]]-Horaires356[[#This Row],[début]],1)-MOD(Horaires356[[#This Row],[PNP Fin]]-Horaires356[[#This Row],[PNP Début]],1))*24</f>
        <v>0</v>
      </c>
      <c r="K37" s="53">
        <f>IF(Horaires356[[#This Row],[PNP Début]]=0,0,IF(Horaires356[[#This Row],[PNP Début]]&lt;Horaires356[[#This Row],[début]],1,0)+Horaires356[[#This Row],[PNP Début]])</f>
        <v>0</v>
      </c>
      <c r="L37" s="54">
        <f>IF(Horaires356[[#This Row],[PNP Fin]]=0,0,IF(Horaires356[[#This Row],[PNP Fin]]&lt;Horaires356[[#This Row],[début]],1,0)+Horaires356[[#This Row],[PNP Fin]])</f>
        <v>0</v>
      </c>
      <c r="M37" s="54">
        <f>IF(Horaires356[[#This Row],[Fin]]&lt;Horaires356[[#This Row],[début]],1,0)+Horaires356[[#This Row],[Fin]]</f>
        <v>0</v>
      </c>
      <c r="N37" s="35">
        <f>IF(Horaires356[[#This Row],[Fin]]&lt;Horaires356[[#This Row],[début]],MAX(0,MIN(Horaires356[[#This Row],[Fin corrigée si nuit]],fin_nuit)-MAX(Horaires356[[#This Row],[début]],deb_nuit))*24,(MAX(deb_nuit,Horaires356[[#This Row],[Fin]])-MAX(deb_nuit,Horaires356[[#This Row],[début]])+MAX(MIN(fin_nuit-1,Horaires356[[#This Row],[Fin]])-MIN(fin_nuit-1,Horaires356[[#This Row],[début]]),0))*24)</f>
        <v>0</v>
      </c>
      <c r="O37" s="55">
        <f>(MAX(0,MIN(Horaires356[[#This Row],[Fin corrigée si nuit]],fin_nuit)-MAX(Horaires356[[#This Row],[début]],deb_nuit))-IF(Horaires356[[#This Row],[PNP Début]]=0,0,MIN(Horaires356[[#This Row],[PNP Fin corrigée]],fin_nuit)-MAX(Horaires356[[#This Row],[PNP Début corrigé]],deb_nuit)))*24</f>
        <v>0</v>
      </c>
      <c r="P37" s="55">
        <f>(IF(WEEKDAY(Horaires356[[#This Row],[Date]],2)=7,MAX(0,MIN(fin_dimJF,Horaires356[[#This Row],[Fin corrigée si nuit]])-MAX(deb_dimJF,Horaires356[[#This Row],[début]])),0)+IF(WEEKDAY(Horaires356[[#This Row],[Date]],2)=6,MAX(0,Horaires356[[#This Row],[Fin corrigée si nuit]]-(1+deb_dimJF)),0))*24</f>
        <v>0</v>
      </c>
      <c r="Q37" s="55">
        <f>(IF(WEEKDAY(Horaires356[[#This Row],[Date]],2)=7,MAX(0,MIN(fin_dimJF,Horaires356[[#This Row],[Fin corrigée si nuit]])-MAX(deb_dimJF,Horaires356[[#This Row],[début]])),0)+IF(WEEKDAY(Horaires356[[#This Row],[Date]],2)=6,MAX(0,Horaires356[[#This Row],[Fin corrigée si nuit]]-(1+deb_dimJF)),0))*24-
(IF(WEEKDAY(Horaires356[[#This Row],[Date]],2)=7,MAX(0,MIN(fin_dimJF,Horaires356[[#This Row],[PNP Fin corrigée]])-MAX(deb_dimJF,Horaires356[[#This Row],[PNP Début corrigé]])),0)+IF(WEEKDAY(Horaires356[[#This Row],[Date]],2)=6,MAX(0,Horaires356[[#This Row],[PNP Fin corrigée]]-(1+deb_dimJF)),0))*24</f>
        <v>0</v>
      </c>
      <c r="R37" s="55">
        <f>(IF(COUNTIF(JF,Horaires356[[#This Row],[Date]]),MAX(0,MIN(fin_dimJF,Horaires356[[#This Row],[Fin corrigée si nuit]])-MAX(deb_dimJF,Horaires356[[#This Row],[début]])),0)+IF(COUNTIF(JF,Horaires356[[#This Row],[Date]]+1),MAX(0,Horaires356[[#This Row],[Fin corrigée si nuit]]-(1+deb_dimJF)),0))*24</f>
        <v>0</v>
      </c>
      <c r="S37" s="55">
        <f>(IF(COUNTIF(JF,Horaires356[[#This Row],[Date]]),MAX(0,MIN(fin_dimJF,Horaires356[[#This Row],[Fin corrigée si nuit]])-MAX(deb_dimJF,Horaires356[[#This Row],[début]])),0)+IF(COUNTIF(JF,Horaires356[[#This Row],[Date]]+1),MAX(0,Horaires356[[#This Row],[Fin corrigée si nuit]]-(1+deb_dimJF)),0))*24-
(IF(COUNTIF(JF,Horaires356[[#This Row],[Date]]),MAX(0,MIN(fin_dimJF,Horaires356[[#This Row],[PNP Fin corrigée]])-MAX(deb_dimJF,Horaires356[[#This Row],[PNP Début corrigé]])),0)+IF(COUNTIF(JF,Horaires356[[#This Row],[Date]]+1),MAX(0,Horaires356[[#This Row],[PNP Fin corrigée]]-(1+deb_dimJF)),0))*24</f>
        <v>0</v>
      </c>
    </row>
    <row r="38" spans="1:19" x14ac:dyDescent="0.35">
      <c r="A38" s="5"/>
      <c r="B38" s="1"/>
      <c r="C38" s="2"/>
      <c r="D38" s="2"/>
      <c r="E38" s="3"/>
      <c r="F38" s="3"/>
      <c r="G38" s="3"/>
      <c r="H38" s="3"/>
      <c r="I38" s="51">
        <f>0.1*(Horaires356[[#This Row],[Heures de nuit]]+Horaires356[[#This Row],[heures jour dimanche]]+Horaires356[[#This Row],[heures jour fériés]])</f>
        <v>0</v>
      </c>
      <c r="J38" s="52">
        <f>(MOD(Horaires356[[#This Row],[Fin]]-Horaires356[[#This Row],[début]],1)-MOD(Horaires356[[#This Row],[PNP Fin]]-Horaires356[[#This Row],[PNP Début]],1))*24</f>
        <v>0</v>
      </c>
      <c r="K38" s="53">
        <f>IF(Horaires356[[#This Row],[PNP Début]]=0,0,IF(Horaires356[[#This Row],[PNP Début]]&lt;Horaires356[[#This Row],[début]],1,0)+Horaires356[[#This Row],[PNP Début]])</f>
        <v>0</v>
      </c>
      <c r="L38" s="54">
        <f>IF(Horaires356[[#This Row],[PNP Fin]]=0,0,IF(Horaires356[[#This Row],[PNP Fin]]&lt;Horaires356[[#This Row],[début]],1,0)+Horaires356[[#This Row],[PNP Fin]])</f>
        <v>0</v>
      </c>
      <c r="M38" s="54">
        <f>IF(Horaires356[[#This Row],[Fin]]&lt;Horaires356[[#This Row],[début]],1,0)+Horaires356[[#This Row],[Fin]]</f>
        <v>0</v>
      </c>
      <c r="N38" s="35">
        <f>IF(Horaires356[[#This Row],[Fin]]&lt;Horaires356[[#This Row],[début]],MAX(0,MIN(Horaires356[[#This Row],[Fin corrigée si nuit]],fin_nuit)-MAX(Horaires356[[#This Row],[début]],deb_nuit))*24,(MAX(deb_nuit,Horaires356[[#This Row],[Fin]])-MAX(deb_nuit,Horaires356[[#This Row],[début]])+MAX(MIN(fin_nuit-1,Horaires356[[#This Row],[Fin]])-MIN(fin_nuit-1,Horaires356[[#This Row],[début]]),0))*24)</f>
        <v>0</v>
      </c>
      <c r="O38" s="55">
        <f>(MAX(0,MIN(Horaires356[[#This Row],[Fin corrigée si nuit]],fin_nuit)-MAX(Horaires356[[#This Row],[début]],deb_nuit))-IF(Horaires356[[#This Row],[PNP Début]]=0,0,MIN(Horaires356[[#This Row],[PNP Fin corrigée]],fin_nuit)-MAX(Horaires356[[#This Row],[PNP Début corrigé]],deb_nuit)))*24</f>
        <v>0</v>
      </c>
      <c r="P38" s="55">
        <f>(IF(WEEKDAY(Horaires356[[#This Row],[Date]],2)=7,MAX(0,MIN(fin_dimJF,Horaires356[[#This Row],[Fin corrigée si nuit]])-MAX(deb_dimJF,Horaires356[[#This Row],[début]])),0)+IF(WEEKDAY(Horaires356[[#This Row],[Date]],2)=6,MAX(0,Horaires356[[#This Row],[Fin corrigée si nuit]]-(1+deb_dimJF)),0))*24</f>
        <v>0</v>
      </c>
      <c r="Q38" s="55">
        <f>(IF(WEEKDAY(Horaires356[[#This Row],[Date]],2)=7,MAX(0,MIN(fin_dimJF,Horaires356[[#This Row],[Fin corrigée si nuit]])-MAX(deb_dimJF,Horaires356[[#This Row],[début]])),0)+IF(WEEKDAY(Horaires356[[#This Row],[Date]],2)=6,MAX(0,Horaires356[[#This Row],[Fin corrigée si nuit]]-(1+deb_dimJF)),0))*24-
(IF(WEEKDAY(Horaires356[[#This Row],[Date]],2)=7,MAX(0,MIN(fin_dimJF,Horaires356[[#This Row],[PNP Fin corrigée]])-MAX(deb_dimJF,Horaires356[[#This Row],[PNP Début corrigé]])),0)+IF(WEEKDAY(Horaires356[[#This Row],[Date]],2)=6,MAX(0,Horaires356[[#This Row],[PNP Fin corrigée]]-(1+deb_dimJF)),0))*24</f>
        <v>0</v>
      </c>
      <c r="R38" s="55">
        <f>(IF(COUNTIF(JF,Horaires356[[#This Row],[Date]]),MAX(0,MIN(fin_dimJF,Horaires356[[#This Row],[Fin corrigée si nuit]])-MAX(deb_dimJF,Horaires356[[#This Row],[début]])),0)+IF(COUNTIF(JF,Horaires356[[#This Row],[Date]]+1),MAX(0,Horaires356[[#This Row],[Fin corrigée si nuit]]-(1+deb_dimJF)),0))*24</f>
        <v>0</v>
      </c>
      <c r="S38" s="55">
        <f>(IF(COUNTIF(JF,Horaires356[[#This Row],[Date]]),MAX(0,MIN(fin_dimJF,Horaires356[[#This Row],[Fin corrigée si nuit]])-MAX(deb_dimJF,Horaires356[[#This Row],[début]])),0)+IF(COUNTIF(JF,Horaires356[[#This Row],[Date]]+1),MAX(0,Horaires356[[#This Row],[Fin corrigée si nuit]]-(1+deb_dimJF)),0))*24-
(IF(COUNTIF(JF,Horaires356[[#This Row],[Date]]),MAX(0,MIN(fin_dimJF,Horaires356[[#This Row],[PNP Fin corrigée]])-MAX(deb_dimJF,Horaires356[[#This Row],[PNP Début corrigé]])),0)+IF(COUNTIF(JF,Horaires356[[#This Row],[Date]]+1),MAX(0,Horaires356[[#This Row],[PNP Fin corrigée]]-(1+deb_dimJF)),0))*24</f>
        <v>0</v>
      </c>
    </row>
    <row r="39" spans="1:19" x14ac:dyDescent="0.35">
      <c r="A39" s="5"/>
      <c r="B39" s="1"/>
      <c r="C39" s="2"/>
      <c r="D39" s="2"/>
      <c r="E39" s="3"/>
      <c r="F39" s="3"/>
      <c r="G39" s="3"/>
      <c r="H39" s="3"/>
      <c r="I39" s="51">
        <f>0.1*(Horaires356[[#This Row],[Heures de nuit]]+Horaires356[[#This Row],[heures jour dimanche]]+Horaires356[[#This Row],[heures jour fériés]])</f>
        <v>0</v>
      </c>
      <c r="J39" s="52">
        <f>(MOD(Horaires356[[#This Row],[Fin]]-Horaires356[[#This Row],[début]],1)-MOD(Horaires356[[#This Row],[PNP Fin]]-Horaires356[[#This Row],[PNP Début]],1))*24</f>
        <v>0</v>
      </c>
      <c r="K39" s="53">
        <f>IF(Horaires356[[#This Row],[PNP Début]]=0,0,IF(Horaires356[[#This Row],[PNP Début]]&lt;Horaires356[[#This Row],[début]],1,0)+Horaires356[[#This Row],[PNP Début]])</f>
        <v>0</v>
      </c>
      <c r="L39" s="54">
        <f>IF(Horaires356[[#This Row],[PNP Fin]]=0,0,IF(Horaires356[[#This Row],[PNP Fin]]&lt;Horaires356[[#This Row],[début]],1,0)+Horaires356[[#This Row],[PNP Fin]])</f>
        <v>0</v>
      </c>
      <c r="M39" s="54">
        <f>IF(Horaires356[[#This Row],[Fin]]&lt;Horaires356[[#This Row],[début]],1,0)+Horaires356[[#This Row],[Fin]]</f>
        <v>0</v>
      </c>
      <c r="N39" s="35">
        <f>IF(Horaires356[[#This Row],[Fin]]&lt;Horaires356[[#This Row],[début]],MAX(0,MIN(Horaires356[[#This Row],[Fin corrigée si nuit]],fin_nuit)-MAX(Horaires356[[#This Row],[début]],deb_nuit))*24,(MAX(deb_nuit,Horaires356[[#This Row],[Fin]])-MAX(deb_nuit,Horaires356[[#This Row],[début]])+MAX(MIN(fin_nuit-1,Horaires356[[#This Row],[Fin]])-MIN(fin_nuit-1,Horaires356[[#This Row],[début]]),0))*24)</f>
        <v>0</v>
      </c>
      <c r="O39" s="55">
        <f>(MAX(0,MIN(Horaires356[[#This Row],[Fin corrigée si nuit]],fin_nuit)-MAX(Horaires356[[#This Row],[début]],deb_nuit))-IF(Horaires356[[#This Row],[PNP Début]]=0,0,MIN(Horaires356[[#This Row],[PNP Fin corrigée]],fin_nuit)-MAX(Horaires356[[#This Row],[PNP Début corrigé]],deb_nuit)))*24</f>
        <v>0</v>
      </c>
      <c r="P39" s="55">
        <f>(IF(WEEKDAY(Horaires356[[#This Row],[Date]],2)=7,MAX(0,MIN(fin_dimJF,Horaires356[[#This Row],[Fin corrigée si nuit]])-MAX(deb_dimJF,Horaires356[[#This Row],[début]])),0)+IF(WEEKDAY(Horaires356[[#This Row],[Date]],2)=6,MAX(0,Horaires356[[#This Row],[Fin corrigée si nuit]]-(1+deb_dimJF)),0))*24</f>
        <v>0</v>
      </c>
      <c r="Q39" s="55">
        <f>(IF(WEEKDAY(Horaires356[[#This Row],[Date]],2)=7,MAX(0,MIN(fin_dimJF,Horaires356[[#This Row],[Fin corrigée si nuit]])-MAX(deb_dimJF,Horaires356[[#This Row],[début]])),0)+IF(WEEKDAY(Horaires356[[#This Row],[Date]],2)=6,MAX(0,Horaires356[[#This Row],[Fin corrigée si nuit]]-(1+deb_dimJF)),0))*24-
(IF(WEEKDAY(Horaires356[[#This Row],[Date]],2)=7,MAX(0,MIN(fin_dimJF,Horaires356[[#This Row],[PNP Fin corrigée]])-MAX(deb_dimJF,Horaires356[[#This Row],[PNP Début corrigé]])),0)+IF(WEEKDAY(Horaires356[[#This Row],[Date]],2)=6,MAX(0,Horaires356[[#This Row],[PNP Fin corrigée]]-(1+deb_dimJF)),0))*24</f>
        <v>0</v>
      </c>
      <c r="R39" s="55">
        <f>(IF(COUNTIF(JF,Horaires356[[#This Row],[Date]]),MAX(0,MIN(fin_dimJF,Horaires356[[#This Row],[Fin corrigée si nuit]])-MAX(deb_dimJF,Horaires356[[#This Row],[début]])),0)+IF(COUNTIF(JF,Horaires356[[#This Row],[Date]]+1),MAX(0,Horaires356[[#This Row],[Fin corrigée si nuit]]-(1+deb_dimJF)),0))*24</f>
        <v>0</v>
      </c>
      <c r="S39" s="55">
        <f>(IF(COUNTIF(JF,Horaires356[[#This Row],[Date]]),MAX(0,MIN(fin_dimJF,Horaires356[[#This Row],[Fin corrigée si nuit]])-MAX(deb_dimJF,Horaires356[[#This Row],[début]])),0)+IF(COUNTIF(JF,Horaires356[[#This Row],[Date]]+1),MAX(0,Horaires356[[#This Row],[Fin corrigée si nuit]]-(1+deb_dimJF)),0))*24-
(IF(COUNTIF(JF,Horaires356[[#This Row],[Date]]),MAX(0,MIN(fin_dimJF,Horaires356[[#This Row],[PNP Fin corrigée]])-MAX(deb_dimJF,Horaires356[[#This Row],[PNP Début corrigé]])),0)+IF(COUNTIF(JF,Horaires356[[#This Row],[Date]]+1),MAX(0,Horaires356[[#This Row],[PNP Fin corrigée]]-(1+deb_dimJF)),0))*24</f>
        <v>0</v>
      </c>
    </row>
    <row r="40" spans="1:19" x14ac:dyDescent="0.35">
      <c r="A40" s="5"/>
      <c r="B40" s="1"/>
      <c r="C40" s="2"/>
      <c r="D40" s="2"/>
      <c r="E40" s="3"/>
      <c r="F40" s="3"/>
      <c r="G40" s="3"/>
      <c r="H40" s="3"/>
      <c r="I40" s="51">
        <f>0.1*(Horaires356[[#This Row],[Heures de nuit]]+Horaires356[[#This Row],[heures jour dimanche]]+Horaires356[[#This Row],[heures jour fériés]])</f>
        <v>0</v>
      </c>
      <c r="J40" s="52">
        <f>(MOD(Horaires356[[#This Row],[Fin]]-Horaires356[[#This Row],[début]],1)-MOD(Horaires356[[#This Row],[PNP Fin]]-Horaires356[[#This Row],[PNP Début]],1))*24</f>
        <v>0</v>
      </c>
      <c r="K40" s="53">
        <f>IF(Horaires356[[#This Row],[PNP Début]]=0,0,IF(Horaires356[[#This Row],[PNP Début]]&lt;Horaires356[[#This Row],[début]],1,0)+Horaires356[[#This Row],[PNP Début]])</f>
        <v>0</v>
      </c>
      <c r="L40" s="54">
        <f>IF(Horaires356[[#This Row],[PNP Fin]]=0,0,IF(Horaires356[[#This Row],[PNP Fin]]&lt;Horaires356[[#This Row],[début]],1,0)+Horaires356[[#This Row],[PNP Fin]])</f>
        <v>0</v>
      </c>
      <c r="M40" s="54">
        <f>IF(Horaires356[[#This Row],[Fin]]&lt;Horaires356[[#This Row],[début]],1,0)+Horaires356[[#This Row],[Fin]]</f>
        <v>0</v>
      </c>
      <c r="N40" s="35">
        <f>IF(Horaires356[[#This Row],[Fin]]&lt;Horaires356[[#This Row],[début]],MAX(0,MIN(Horaires356[[#This Row],[Fin corrigée si nuit]],fin_nuit)-MAX(Horaires356[[#This Row],[début]],deb_nuit))*24,(MAX(deb_nuit,Horaires356[[#This Row],[Fin]])-MAX(deb_nuit,Horaires356[[#This Row],[début]])+MAX(MIN(fin_nuit-1,Horaires356[[#This Row],[Fin]])-MIN(fin_nuit-1,Horaires356[[#This Row],[début]]),0))*24)</f>
        <v>0</v>
      </c>
      <c r="O40" s="55">
        <f>(MAX(0,MIN(Horaires356[[#This Row],[Fin corrigée si nuit]],fin_nuit)-MAX(Horaires356[[#This Row],[début]],deb_nuit))-IF(Horaires356[[#This Row],[PNP Début]]=0,0,MIN(Horaires356[[#This Row],[PNP Fin corrigée]],fin_nuit)-MAX(Horaires356[[#This Row],[PNP Début corrigé]],deb_nuit)))*24</f>
        <v>0</v>
      </c>
      <c r="P40" s="55">
        <f>(IF(WEEKDAY(Horaires356[[#This Row],[Date]],2)=7,MAX(0,MIN(fin_dimJF,Horaires356[[#This Row],[Fin corrigée si nuit]])-MAX(deb_dimJF,Horaires356[[#This Row],[début]])),0)+IF(WEEKDAY(Horaires356[[#This Row],[Date]],2)=6,MAX(0,Horaires356[[#This Row],[Fin corrigée si nuit]]-(1+deb_dimJF)),0))*24</f>
        <v>0</v>
      </c>
      <c r="Q40" s="55">
        <f>(IF(WEEKDAY(Horaires356[[#This Row],[Date]],2)=7,MAX(0,MIN(fin_dimJF,Horaires356[[#This Row],[Fin corrigée si nuit]])-MAX(deb_dimJF,Horaires356[[#This Row],[début]])),0)+IF(WEEKDAY(Horaires356[[#This Row],[Date]],2)=6,MAX(0,Horaires356[[#This Row],[Fin corrigée si nuit]]-(1+deb_dimJF)),0))*24-
(IF(WEEKDAY(Horaires356[[#This Row],[Date]],2)=7,MAX(0,MIN(fin_dimJF,Horaires356[[#This Row],[PNP Fin corrigée]])-MAX(deb_dimJF,Horaires356[[#This Row],[PNP Début corrigé]])),0)+IF(WEEKDAY(Horaires356[[#This Row],[Date]],2)=6,MAX(0,Horaires356[[#This Row],[PNP Fin corrigée]]-(1+deb_dimJF)),0))*24</f>
        <v>0</v>
      </c>
      <c r="R40" s="55">
        <f>(IF(COUNTIF(JF,Horaires356[[#This Row],[Date]]),MAX(0,MIN(fin_dimJF,Horaires356[[#This Row],[Fin corrigée si nuit]])-MAX(deb_dimJF,Horaires356[[#This Row],[début]])),0)+IF(COUNTIF(JF,Horaires356[[#This Row],[Date]]+1),MAX(0,Horaires356[[#This Row],[Fin corrigée si nuit]]-(1+deb_dimJF)),0))*24</f>
        <v>0</v>
      </c>
      <c r="S40" s="55">
        <f>(IF(COUNTIF(JF,Horaires356[[#This Row],[Date]]),MAX(0,MIN(fin_dimJF,Horaires356[[#This Row],[Fin corrigée si nuit]])-MAX(deb_dimJF,Horaires356[[#This Row],[début]])),0)+IF(COUNTIF(JF,Horaires356[[#This Row],[Date]]+1),MAX(0,Horaires356[[#This Row],[Fin corrigée si nuit]]-(1+deb_dimJF)),0))*24-
(IF(COUNTIF(JF,Horaires356[[#This Row],[Date]]),MAX(0,MIN(fin_dimJF,Horaires356[[#This Row],[PNP Fin corrigée]])-MAX(deb_dimJF,Horaires356[[#This Row],[PNP Début corrigé]])),0)+IF(COUNTIF(JF,Horaires356[[#This Row],[Date]]+1),MAX(0,Horaires356[[#This Row],[PNP Fin corrigée]]-(1+deb_dimJF)),0))*24</f>
        <v>0</v>
      </c>
    </row>
    <row r="41" spans="1:19" x14ac:dyDescent="0.35">
      <c r="A41" s="5"/>
      <c r="B41" s="1"/>
      <c r="C41" s="2"/>
      <c r="D41" s="2"/>
      <c r="E41" s="3"/>
      <c r="F41" s="3"/>
      <c r="G41" s="3"/>
      <c r="H41" s="3"/>
      <c r="I41" s="51">
        <f>0.1*(Horaires356[[#This Row],[Heures de nuit]]+Horaires356[[#This Row],[heures jour dimanche]]+Horaires356[[#This Row],[heures jour fériés]])</f>
        <v>0</v>
      </c>
      <c r="J41" s="52">
        <f>(MOD(Horaires356[[#This Row],[Fin]]-Horaires356[[#This Row],[début]],1)-MOD(Horaires356[[#This Row],[PNP Fin]]-Horaires356[[#This Row],[PNP Début]],1))*24</f>
        <v>0</v>
      </c>
      <c r="K41" s="53">
        <f>IF(Horaires356[[#This Row],[PNP Début]]=0,0,IF(Horaires356[[#This Row],[PNP Début]]&lt;Horaires356[[#This Row],[début]],1,0)+Horaires356[[#This Row],[PNP Début]])</f>
        <v>0</v>
      </c>
      <c r="L41" s="54">
        <f>IF(Horaires356[[#This Row],[PNP Fin]]=0,0,IF(Horaires356[[#This Row],[PNP Fin]]&lt;Horaires356[[#This Row],[début]],1,0)+Horaires356[[#This Row],[PNP Fin]])</f>
        <v>0</v>
      </c>
      <c r="M41" s="54">
        <f>IF(Horaires356[[#This Row],[Fin]]&lt;Horaires356[[#This Row],[début]],1,0)+Horaires356[[#This Row],[Fin]]</f>
        <v>0</v>
      </c>
      <c r="N41" s="35">
        <f>IF(Horaires356[[#This Row],[Fin]]&lt;Horaires356[[#This Row],[début]],MAX(0,MIN(Horaires356[[#This Row],[Fin corrigée si nuit]],fin_nuit)-MAX(Horaires356[[#This Row],[début]],deb_nuit))*24,(MAX(deb_nuit,Horaires356[[#This Row],[Fin]])-MAX(deb_nuit,Horaires356[[#This Row],[début]])+MAX(MIN(fin_nuit-1,Horaires356[[#This Row],[Fin]])-MIN(fin_nuit-1,Horaires356[[#This Row],[début]]),0))*24)</f>
        <v>0</v>
      </c>
      <c r="O41" s="55">
        <f>(MAX(0,MIN(Horaires356[[#This Row],[Fin corrigée si nuit]],fin_nuit)-MAX(Horaires356[[#This Row],[début]],deb_nuit))-IF(Horaires356[[#This Row],[PNP Début]]=0,0,MIN(Horaires356[[#This Row],[PNP Fin corrigée]],fin_nuit)-MAX(Horaires356[[#This Row],[PNP Début corrigé]],deb_nuit)))*24</f>
        <v>0</v>
      </c>
      <c r="P41" s="55">
        <f>(IF(WEEKDAY(Horaires356[[#This Row],[Date]],2)=7,MAX(0,MIN(fin_dimJF,Horaires356[[#This Row],[Fin corrigée si nuit]])-MAX(deb_dimJF,Horaires356[[#This Row],[début]])),0)+IF(WEEKDAY(Horaires356[[#This Row],[Date]],2)=6,MAX(0,Horaires356[[#This Row],[Fin corrigée si nuit]]-(1+deb_dimJF)),0))*24</f>
        <v>0</v>
      </c>
      <c r="Q41" s="55">
        <f>(IF(WEEKDAY(Horaires356[[#This Row],[Date]],2)=7,MAX(0,MIN(fin_dimJF,Horaires356[[#This Row],[Fin corrigée si nuit]])-MAX(deb_dimJF,Horaires356[[#This Row],[début]])),0)+IF(WEEKDAY(Horaires356[[#This Row],[Date]],2)=6,MAX(0,Horaires356[[#This Row],[Fin corrigée si nuit]]-(1+deb_dimJF)),0))*24-
(IF(WEEKDAY(Horaires356[[#This Row],[Date]],2)=7,MAX(0,MIN(fin_dimJF,Horaires356[[#This Row],[PNP Fin corrigée]])-MAX(deb_dimJF,Horaires356[[#This Row],[PNP Début corrigé]])),0)+IF(WEEKDAY(Horaires356[[#This Row],[Date]],2)=6,MAX(0,Horaires356[[#This Row],[PNP Fin corrigée]]-(1+deb_dimJF)),0))*24</f>
        <v>0</v>
      </c>
      <c r="R41" s="55">
        <f>(IF(COUNTIF(JF,Horaires356[[#This Row],[Date]]),MAX(0,MIN(fin_dimJF,Horaires356[[#This Row],[Fin corrigée si nuit]])-MAX(deb_dimJF,Horaires356[[#This Row],[début]])),0)+IF(COUNTIF(JF,Horaires356[[#This Row],[Date]]+1),MAX(0,Horaires356[[#This Row],[Fin corrigée si nuit]]-(1+deb_dimJF)),0))*24</f>
        <v>0</v>
      </c>
      <c r="S41" s="55">
        <f>(IF(COUNTIF(JF,Horaires356[[#This Row],[Date]]),MAX(0,MIN(fin_dimJF,Horaires356[[#This Row],[Fin corrigée si nuit]])-MAX(deb_dimJF,Horaires356[[#This Row],[début]])),0)+IF(COUNTIF(JF,Horaires356[[#This Row],[Date]]+1),MAX(0,Horaires356[[#This Row],[Fin corrigée si nuit]]-(1+deb_dimJF)),0))*24-
(IF(COUNTIF(JF,Horaires356[[#This Row],[Date]]),MAX(0,MIN(fin_dimJF,Horaires356[[#This Row],[PNP Fin corrigée]])-MAX(deb_dimJF,Horaires356[[#This Row],[PNP Début corrigé]])),0)+IF(COUNTIF(JF,Horaires356[[#This Row],[Date]]+1),MAX(0,Horaires356[[#This Row],[PNP Fin corrigée]]-(1+deb_dimJF)),0))*24</f>
        <v>0</v>
      </c>
    </row>
    <row r="42" spans="1:19" x14ac:dyDescent="0.35">
      <c r="A42" s="5"/>
      <c r="B42" s="1"/>
      <c r="C42" s="2"/>
      <c r="D42" s="2"/>
      <c r="E42" s="3"/>
      <c r="F42" s="3"/>
      <c r="G42" s="3"/>
      <c r="H42" s="3"/>
      <c r="I42" s="51">
        <f>0.1*(Horaires356[[#This Row],[Heures de nuit]]+Horaires356[[#This Row],[heures jour dimanche]]+Horaires356[[#This Row],[heures jour fériés]])</f>
        <v>0</v>
      </c>
      <c r="J42" s="52">
        <f>(MOD(Horaires356[[#This Row],[Fin]]-Horaires356[[#This Row],[début]],1)-MOD(Horaires356[[#This Row],[PNP Fin]]-Horaires356[[#This Row],[PNP Début]],1))*24</f>
        <v>0</v>
      </c>
      <c r="K42" s="53">
        <f>IF(Horaires356[[#This Row],[PNP Début]]=0,0,IF(Horaires356[[#This Row],[PNP Début]]&lt;Horaires356[[#This Row],[début]],1,0)+Horaires356[[#This Row],[PNP Début]])</f>
        <v>0</v>
      </c>
      <c r="L42" s="54">
        <f>IF(Horaires356[[#This Row],[PNP Fin]]=0,0,IF(Horaires356[[#This Row],[PNP Fin]]&lt;Horaires356[[#This Row],[début]],1,0)+Horaires356[[#This Row],[PNP Fin]])</f>
        <v>0</v>
      </c>
      <c r="M42" s="54">
        <f>IF(Horaires356[[#This Row],[Fin]]&lt;Horaires356[[#This Row],[début]],1,0)+Horaires356[[#This Row],[Fin]]</f>
        <v>0</v>
      </c>
      <c r="N42" s="35">
        <f>IF(Horaires356[[#This Row],[Fin]]&lt;Horaires356[[#This Row],[début]],MAX(0,MIN(Horaires356[[#This Row],[Fin corrigée si nuit]],fin_nuit)-MAX(Horaires356[[#This Row],[début]],deb_nuit))*24,(MAX(deb_nuit,Horaires356[[#This Row],[Fin]])-MAX(deb_nuit,Horaires356[[#This Row],[début]])+MAX(MIN(fin_nuit-1,Horaires356[[#This Row],[Fin]])-MIN(fin_nuit-1,Horaires356[[#This Row],[début]]),0))*24)</f>
        <v>0</v>
      </c>
      <c r="O42" s="55">
        <f>(MAX(0,MIN(Horaires356[[#This Row],[Fin corrigée si nuit]],fin_nuit)-MAX(Horaires356[[#This Row],[début]],deb_nuit))-IF(Horaires356[[#This Row],[PNP Début]]=0,0,MIN(Horaires356[[#This Row],[PNP Fin corrigée]],fin_nuit)-MAX(Horaires356[[#This Row],[PNP Début corrigé]],deb_nuit)))*24</f>
        <v>0</v>
      </c>
      <c r="P42" s="55">
        <f>(IF(WEEKDAY(Horaires356[[#This Row],[Date]],2)=7,MAX(0,MIN(fin_dimJF,Horaires356[[#This Row],[Fin corrigée si nuit]])-MAX(deb_dimJF,Horaires356[[#This Row],[début]])),0)+IF(WEEKDAY(Horaires356[[#This Row],[Date]],2)=6,MAX(0,Horaires356[[#This Row],[Fin corrigée si nuit]]-(1+deb_dimJF)),0))*24</f>
        <v>0</v>
      </c>
      <c r="Q42" s="55">
        <f>(IF(WEEKDAY(Horaires356[[#This Row],[Date]],2)=7,MAX(0,MIN(fin_dimJF,Horaires356[[#This Row],[Fin corrigée si nuit]])-MAX(deb_dimJF,Horaires356[[#This Row],[début]])),0)+IF(WEEKDAY(Horaires356[[#This Row],[Date]],2)=6,MAX(0,Horaires356[[#This Row],[Fin corrigée si nuit]]-(1+deb_dimJF)),0))*24-
(IF(WEEKDAY(Horaires356[[#This Row],[Date]],2)=7,MAX(0,MIN(fin_dimJF,Horaires356[[#This Row],[PNP Fin corrigée]])-MAX(deb_dimJF,Horaires356[[#This Row],[PNP Début corrigé]])),0)+IF(WEEKDAY(Horaires356[[#This Row],[Date]],2)=6,MAX(0,Horaires356[[#This Row],[PNP Fin corrigée]]-(1+deb_dimJF)),0))*24</f>
        <v>0</v>
      </c>
      <c r="R42" s="55">
        <f>(IF(COUNTIF(JF,Horaires356[[#This Row],[Date]]),MAX(0,MIN(fin_dimJF,Horaires356[[#This Row],[Fin corrigée si nuit]])-MAX(deb_dimJF,Horaires356[[#This Row],[début]])),0)+IF(COUNTIF(JF,Horaires356[[#This Row],[Date]]+1),MAX(0,Horaires356[[#This Row],[Fin corrigée si nuit]]-(1+deb_dimJF)),0))*24</f>
        <v>0</v>
      </c>
      <c r="S42" s="55">
        <f>(IF(COUNTIF(JF,Horaires356[[#This Row],[Date]]),MAX(0,MIN(fin_dimJF,Horaires356[[#This Row],[Fin corrigée si nuit]])-MAX(deb_dimJF,Horaires356[[#This Row],[début]])),0)+IF(COUNTIF(JF,Horaires356[[#This Row],[Date]]+1),MAX(0,Horaires356[[#This Row],[Fin corrigée si nuit]]-(1+deb_dimJF)),0))*24-
(IF(COUNTIF(JF,Horaires356[[#This Row],[Date]]),MAX(0,MIN(fin_dimJF,Horaires356[[#This Row],[PNP Fin corrigée]])-MAX(deb_dimJF,Horaires356[[#This Row],[PNP Début corrigé]])),0)+IF(COUNTIF(JF,Horaires356[[#This Row],[Date]]+1),MAX(0,Horaires356[[#This Row],[PNP Fin corrigée]]-(1+deb_dimJF)),0))*24</f>
        <v>0</v>
      </c>
    </row>
    <row r="43" spans="1:19" x14ac:dyDescent="0.35">
      <c r="A43" s="5"/>
      <c r="B43" s="1"/>
      <c r="C43" s="2"/>
      <c r="D43" s="2"/>
      <c r="E43" s="3"/>
      <c r="F43" s="3"/>
      <c r="G43" s="3"/>
      <c r="H43" s="3"/>
      <c r="I43" s="51">
        <f>0.1*(Horaires356[[#This Row],[Heures de nuit]]+Horaires356[[#This Row],[heures jour dimanche]]+Horaires356[[#This Row],[heures jour fériés]])</f>
        <v>0</v>
      </c>
      <c r="J43" s="52">
        <f>(MOD(Horaires356[[#This Row],[Fin]]-Horaires356[[#This Row],[début]],1)-MOD(Horaires356[[#This Row],[PNP Fin]]-Horaires356[[#This Row],[PNP Début]],1))*24</f>
        <v>0</v>
      </c>
      <c r="K43" s="53">
        <f>IF(Horaires356[[#This Row],[PNP Début]]=0,0,IF(Horaires356[[#This Row],[PNP Début]]&lt;Horaires356[[#This Row],[début]],1,0)+Horaires356[[#This Row],[PNP Début]])</f>
        <v>0</v>
      </c>
      <c r="L43" s="54">
        <f>IF(Horaires356[[#This Row],[PNP Fin]]=0,0,IF(Horaires356[[#This Row],[PNP Fin]]&lt;Horaires356[[#This Row],[début]],1,0)+Horaires356[[#This Row],[PNP Fin]])</f>
        <v>0</v>
      </c>
      <c r="M43" s="54">
        <f>IF(Horaires356[[#This Row],[Fin]]&lt;Horaires356[[#This Row],[début]],1,0)+Horaires356[[#This Row],[Fin]]</f>
        <v>0</v>
      </c>
      <c r="N43" s="35">
        <f>IF(Horaires356[[#This Row],[Fin]]&lt;Horaires356[[#This Row],[début]],MAX(0,MIN(Horaires356[[#This Row],[Fin corrigée si nuit]],fin_nuit)-MAX(Horaires356[[#This Row],[début]],deb_nuit))*24,(MAX(deb_nuit,Horaires356[[#This Row],[Fin]])-MAX(deb_nuit,Horaires356[[#This Row],[début]])+MAX(MIN(fin_nuit-1,Horaires356[[#This Row],[Fin]])-MIN(fin_nuit-1,Horaires356[[#This Row],[début]]),0))*24)</f>
        <v>0</v>
      </c>
      <c r="O43" s="55">
        <f>(MAX(0,MIN(Horaires356[[#This Row],[Fin corrigée si nuit]],fin_nuit)-MAX(Horaires356[[#This Row],[début]],deb_nuit))-IF(Horaires356[[#This Row],[PNP Début]]=0,0,MIN(Horaires356[[#This Row],[PNP Fin corrigée]],fin_nuit)-MAX(Horaires356[[#This Row],[PNP Début corrigé]],deb_nuit)))*24</f>
        <v>0</v>
      </c>
      <c r="P43" s="55">
        <f>(IF(WEEKDAY(Horaires356[[#This Row],[Date]],2)=7,MAX(0,MIN(fin_dimJF,Horaires356[[#This Row],[Fin corrigée si nuit]])-MAX(deb_dimJF,Horaires356[[#This Row],[début]])),0)+IF(WEEKDAY(Horaires356[[#This Row],[Date]],2)=6,MAX(0,Horaires356[[#This Row],[Fin corrigée si nuit]]-(1+deb_dimJF)),0))*24</f>
        <v>0</v>
      </c>
      <c r="Q43" s="55">
        <f>(IF(WEEKDAY(Horaires356[[#This Row],[Date]],2)=7,MAX(0,MIN(fin_dimJF,Horaires356[[#This Row],[Fin corrigée si nuit]])-MAX(deb_dimJF,Horaires356[[#This Row],[début]])),0)+IF(WEEKDAY(Horaires356[[#This Row],[Date]],2)=6,MAX(0,Horaires356[[#This Row],[Fin corrigée si nuit]]-(1+deb_dimJF)),0))*24-
(IF(WEEKDAY(Horaires356[[#This Row],[Date]],2)=7,MAX(0,MIN(fin_dimJF,Horaires356[[#This Row],[PNP Fin corrigée]])-MAX(deb_dimJF,Horaires356[[#This Row],[PNP Début corrigé]])),0)+IF(WEEKDAY(Horaires356[[#This Row],[Date]],2)=6,MAX(0,Horaires356[[#This Row],[PNP Fin corrigée]]-(1+deb_dimJF)),0))*24</f>
        <v>0</v>
      </c>
      <c r="R43" s="55">
        <f>(IF(COUNTIF(JF,Horaires356[[#This Row],[Date]]),MAX(0,MIN(fin_dimJF,Horaires356[[#This Row],[Fin corrigée si nuit]])-MAX(deb_dimJF,Horaires356[[#This Row],[début]])),0)+IF(COUNTIF(JF,Horaires356[[#This Row],[Date]]+1),MAX(0,Horaires356[[#This Row],[Fin corrigée si nuit]]-(1+deb_dimJF)),0))*24</f>
        <v>0</v>
      </c>
      <c r="S43" s="55">
        <f>(IF(COUNTIF(JF,Horaires356[[#This Row],[Date]]),MAX(0,MIN(fin_dimJF,Horaires356[[#This Row],[Fin corrigée si nuit]])-MAX(deb_dimJF,Horaires356[[#This Row],[début]])),0)+IF(COUNTIF(JF,Horaires356[[#This Row],[Date]]+1),MAX(0,Horaires356[[#This Row],[Fin corrigée si nuit]]-(1+deb_dimJF)),0))*24-
(IF(COUNTIF(JF,Horaires356[[#This Row],[Date]]),MAX(0,MIN(fin_dimJF,Horaires356[[#This Row],[PNP Fin corrigée]])-MAX(deb_dimJF,Horaires356[[#This Row],[PNP Début corrigé]])),0)+IF(COUNTIF(JF,Horaires356[[#This Row],[Date]]+1),MAX(0,Horaires356[[#This Row],[PNP Fin corrigée]]-(1+deb_dimJF)),0))*24</f>
        <v>0</v>
      </c>
    </row>
    <row r="44" spans="1:19" x14ac:dyDescent="0.35">
      <c r="A44" s="5"/>
      <c r="B44" s="1"/>
      <c r="C44" s="2"/>
      <c r="D44" s="2"/>
      <c r="E44" s="3"/>
      <c r="F44" s="3"/>
      <c r="G44" s="3"/>
      <c r="H44" s="3"/>
      <c r="I44" s="51">
        <f>0.1*(Horaires356[[#This Row],[Heures de nuit]]+Horaires356[[#This Row],[heures jour dimanche]]+Horaires356[[#This Row],[heures jour fériés]])</f>
        <v>0</v>
      </c>
      <c r="J44" s="52">
        <f>(MOD(Horaires356[[#This Row],[Fin]]-Horaires356[[#This Row],[début]],1)-MOD(Horaires356[[#This Row],[PNP Fin]]-Horaires356[[#This Row],[PNP Début]],1))*24</f>
        <v>0</v>
      </c>
      <c r="K44" s="53">
        <f>IF(Horaires356[[#This Row],[PNP Début]]=0,0,IF(Horaires356[[#This Row],[PNP Début]]&lt;Horaires356[[#This Row],[début]],1,0)+Horaires356[[#This Row],[PNP Début]])</f>
        <v>0</v>
      </c>
      <c r="L44" s="54">
        <f>IF(Horaires356[[#This Row],[PNP Fin]]=0,0,IF(Horaires356[[#This Row],[PNP Fin]]&lt;Horaires356[[#This Row],[début]],1,0)+Horaires356[[#This Row],[PNP Fin]])</f>
        <v>0</v>
      </c>
      <c r="M44" s="54">
        <f>IF(Horaires356[[#This Row],[Fin]]&lt;Horaires356[[#This Row],[début]],1,0)+Horaires356[[#This Row],[Fin]]</f>
        <v>0</v>
      </c>
      <c r="N44" s="35">
        <f>IF(Horaires356[[#This Row],[Fin]]&lt;Horaires356[[#This Row],[début]],MAX(0,MIN(Horaires356[[#This Row],[Fin corrigée si nuit]],fin_nuit)-MAX(Horaires356[[#This Row],[début]],deb_nuit))*24,(MAX(deb_nuit,Horaires356[[#This Row],[Fin]])-MAX(deb_nuit,Horaires356[[#This Row],[début]])+MAX(MIN(fin_nuit-1,Horaires356[[#This Row],[Fin]])-MIN(fin_nuit-1,Horaires356[[#This Row],[début]]),0))*24)</f>
        <v>0</v>
      </c>
      <c r="O44" s="55">
        <f>(MAX(0,MIN(Horaires356[[#This Row],[Fin corrigée si nuit]],fin_nuit)-MAX(Horaires356[[#This Row],[début]],deb_nuit))-IF(Horaires356[[#This Row],[PNP Début]]=0,0,MIN(Horaires356[[#This Row],[PNP Fin corrigée]],fin_nuit)-MAX(Horaires356[[#This Row],[PNP Début corrigé]],deb_nuit)))*24</f>
        <v>0</v>
      </c>
      <c r="P44" s="55">
        <f>(IF(WEEKDAY(Horaires356[[#This Row],[Date]],2)=7,MAX(0,MIN(fin_dimJF,Horaires356[[#This Row],[Fin corrigée si nuit]])-MAX(deb_dimJF,Horaires356[[#This Row],[début]])),0)+IF(WEEKDAY(Horaires356[[#This Row],[Date]],2)=6,MAX(0,Horaires356[[#This Row],[Fin corrigée si nuit]]-(1+deb_dimJF)),0))*24</f>
        <v>0</v>
      </c>
      <c r="Q44" s="55">
        <f>(IF(WEEKDAY(Horaires356[[#This Row],[Date]],2)=7,MAX(0,MIN(fin_dimJF,Horaires356[[#This Row],[Fin corrigée si nuit]])-MAX(deb_dimJF,Horaires356[[#This Row],[début]])),0)+IF(WEEKDAY(Horaires356[[#This Row],[Date]],2)=6,MAX(0,Horaires356[[#This Row],[Fin corrigée si nuit]]-(1+deb_dimJF)),0))*24-
(IF(WEEKDAY(Horaires356[[#This Row],[Date]],2)=7,MAX(0,MIN(fin_dimJF,Horaires356[[#This Row],[PNP Fin corrigée]])-MAX(deb_dimJF,Horaires356[[#This Row],[PNP Début corrigé]])),0)+IF(WEEKDAY(Horaires356[[#This Row],[Date]],2)=6,MAX(0,Horaires356[[#This Row],[PNP Fin corrigée]]-(1+deb_dimJF)),0))*24</f>
        <v>0</v>
      </c>
      <c r="R44" s="55">
        <f>(IF(COUNTIF(JF,Horaires356[[#This Row],[Date]]),MAX(0,MIN(fin_dimJF,Horaires356[[#This Row],[Fin corrigée si nuit]])-MAX(deb_dimJF,Horaires356[[#This Row],[début]])),0)+IF(COUNTIF(JF,Horaires356[[#This Row],[Date]]+1),MAX(0,Horaires356[[#This Row],[Fin corrigée si nuit]]-(1+deb_dimJF)),0))*24</f>
        <v>0</v>
      </c>
      <c r="S44" s="55">
        <f>(IF(COUNTIF(JF,Horaires356[[#This Row],[Date]]),MAX(0,MIN(fin_dimJF,Horaires356[[#This Row],[Fin corrigée si nuit]])-MAX(deb_dimJF,Horaires356[[#This Row],[début]])),0)+IF(COUNTIF(JF,Horaires356[[#This Row],[Date]]+1),MAX(0,Horaires356[[#This Row],[Fin corrigée si nuit]]-(1+deb_dimJF)),0))*24-
(IF(COUNTIF(JF,Horaires356[[#This Row],[Date]]),MAX(0,MIN(fin_dimJF,Horaires356[[#This Row],[PNP Fin corrigée]])-MAX(deb_dimJF,Horaires356[[#This Row],[PNP Début corrigé]])),0)+IF(COUNTIF(JF,Horaires356[[#This Row],[Date]]+1),MAX(0,Horaires356[[#This Row],[PNP Fin corrigée]]-(1+deb_dimJF)),0))*24</f>
        <v>0</v>
      </c>
    </row>
    <row r="45" spans="1:19" x14ac:dyDescent="0.35">
      <c r="A45" s="5"/>
      <c r="B45" s="1"/>
      <c r="C45" s="2"/>
      <c r="D45" s="2"/>
      <c r="E45" s="3"/>
      <c r="F45" s="3"/>
      <c r="G45" s="3"/>
      <c r="H45" s="3"/>
      <c r="I45" s="51">
        <f>0.1*(Horaires356[[#This Row],[Heures de nuit]]+Horaires356[[#This Row],[heures jour dimanche]]+Horaires356[[#This Row],[heures jour fériés]])</f>
        <v>0</v>
      </c>
      <c r="J45" s="52">
        <f>(MOD(Horaires356[[#This Row],[Fin]]-Horaires356[[#This Row],[début]],1)-MOD(Horaires356[[#This Row],[PNP Fin]]-Horaires356[[#This Row],[PNP Début]],1))*24</f>
        <v>0</v>
      </c>
      <c r="K45" s="53">
        <f>IF(Horaires356[[#This Row],[PNP Début]]=0,0,IF(Horaires356[[#This Row],[PNP Début]]&lt;Horaires356[[#This Row],[début]],1,0)+Horaires356[[#This Row],[PNP Début]])</f>
        <v>0</v>
      </c>
      <c r="L45" s="54">
        <f>IF(Horaires356[[#This Row],[PNP Fin]]=0,0,IF(Horaires356[[#This Row],[PNP Fin]]&lt;Horaires356[[#This Row],[début]],1,0)+Horaires356[[#This Row],[PNP Fin]])</f>
        <v>0</v>
      </c>
      <c r="M45" s="54">
        <f>IF(Horaires356[[#This Row],[Fin]]&lt;Horaires356[[#This Row],[début]],1,0)+Horaires356[[#This Row],[Fin]]</f>
        <v>0</v>
      </c>
      <c r="N45" s="35">
        <f>IF(Horaires356[[#This Row],[Fin]]&lt;Horaires356[[#This Row],[début]],MAX(0,MIN(Horaires356[[#This Row],[Fin corrigée si nuit]],fin_nuit)-MAX(Horaires356[[#This Row],[début]],deb_nuit))*24,(MAX(deb_nuit,Horaires356[[#This Row],[Fin]])-MAX(deb_nuit,Horaires356[[#This Row],[début]])+MAX(MIN(fin_nuit-1,Horaires356[[#This Row],[Fin]])-MIN(fin_nuit-1,Horaires356[[#This Row],[début]]),0))*24)</f>
        <v>0</v>
      </c>
      <c r="O45" s="55">
        <f>(MAX(0,MIN(Horaires356[[#This Row],[Fin corrigée si nuit]],fin_nuit)-MAX(Horaires356[[#This Row],[début]],deb_nuit))-IF(Horaires356[[#This Row],[PNP Début]]=0,0,MIN(Horaires356[[#This Row],[PNP Fin corrigée]],fin_nuit)-MAX(Horaires356[[#This Row],[PNP Début corrigé]],deb_nuit)))*24</f>
        <v>0</v>
      </c>
      <c r="P45" s="55">
        <f>(IF(WEEKDAY(Horaires356[[#This Row],[Date]],2)=7,MAX(0,MIN(fin_dimJF,Horaires356[[#This Row],[Fin corrigée si nuit]])-MAX(deb_dimJF,Horaires356[[#This Row],[début]])),0)+IF(WEEKDAY(Horaires356[[#This Row],[Date]],2)=6,MAX(0,Horaires356[[#This Row],[Fin corrigée si nuit]]-(1+deb_dimJF)),0))*24</f>
        <v>0</v>
      </c>
      <c r="Q45" s="55">
        <f>(IF(WEEKDAY(Horaires356[[#This Row],[Date]],2)=7,MAX(0,MIN(fin_dimJF,Horaires356[[#This Row],[Fin corrigée si nuit]])-MAX(deb_dimJF,Horaires356[[#This Row],[début]])),0)+IF(WEEKDAY(Horaires356[[#This Row],[Date]],2)=6,MAX(0,Horaires356[[#This Row],[Fin corrigée si nuit]]-(1+deb_dimJF)),0))*24-
(IF(WEEKDAY(Horaires356[[#This Row],[Date]],2)=7,MAX(0,MIN(fin_dimJF,Horaires356[[#This Row],[PNP Fin corrigée]])-MAX(deb_dimJF,Horaires356[[#This Row],[PNP Début corrigé]])),0)+IF(WEEKDAY(Horaires356[[#This Row],[Date]],2)=6,MAX(0,Horaires356[[#This Row],[PNP Fin corrigée]]-(1+deb_dimJF)),0))*24</f>
        <v>0</v>
      </c>
      <c r="R45" s="55">
        <f>(IF(COUNTIF(JF,Horaires356[[#This Row],[Date]]),MAX(0,MIN(fin_dimJF,Horaires356[[#This Row],[Fin corrigée si nuit]])-MAX(deb_dimJF,Horaires356[[#This Row],[début]])),0)+IF(COUNTIF(JF,Horaires356[[#This Row],[Date]]+1),MAX(0,Horaires356[[#This Row],[Fin corrigée si nuit]]-(1+deb_dimJF)),0))*24</f>
        <v>0</v>
      </c>
      <c r="S45" s="55">
        <f>(IF(COUNTIF(JF,Horaires356[[#This Row],[Date]]),MAX(0,MIN(fin_dimJF,Horaires356[[#This Row],[Fin corrigée si nuit]])-MAX(deb_dimJF,Horaires356[[#This Row],[début]])),0)+IF(COUNTIF(JF,Horaires356[[#This Row],[Date]]+1),MAX(0,Horaires356[[#This Row],[Fin corrigée si nuit]]-(1+deb_dimJF)),0))*24-
(IF(COUNTIF(JF,Horaires356[[#This Row],[Date]]),MAX(0,MIN(fin_dimJF,Horaires356[[#This Row],[PNP Fin corrigée]])-MAX(deb_dimJF,Horaires356[[#This Row],[PNP Début corrigé]])),0)+IF(COUNTIF(JF,Horaires356[[#This Row],[Date]]+1),MAX(0,Horaires356[[#This Row],[PNP Fin corrigée]]-(1+deb_dimJF)),0))*24</f>
        <v>0</v>
      </c>
    </row>
    <row r="46" spans="1:19" x14ac:dyDescent="0.35">
      <c r="A46" s="5"/>
      <c r="B46" s="1"/>
      <c r="C46" s="2"/>
      <c r="D46" s="2"/>
      <c r="E46" s="3"/>
      <c r="F46" s="3"/>
      <c r="G46" s="3"/>
      <c r="H46" s="3"/>
      <c r="I46" s="51">
        <f>0.1*(Horaires356[[#This Row],[Heures de nuit]]+Horaires356[[#This Row],[heures jour dimanche]]+Horaires356[[#This Row],[heures jour fériés]])</f>
        <v>0</v>
      </c>
      <c r="J46" s="52">
        <f>(MOD(Horaires356[[#This Row],[Fin]]-Horaires356[[#This Row],[début]],1)-MOD(Horaires356[[#This Row],[PNP Fin]]-Horaires356[[#This Row],[PNP Début]],1))*24</f>
        <v>0</v>
      </c>
      <c r="K46" s="53">
        <f>IF(Horaires356[[#This Row],[PNP Début]]=0,0,IF(Horaires356[[#This Row],[PNP Début]]&lt;Horaires356[[#This Row],[début]],1,0)+Horaires356[[#This Row],[PNP Début]])</f>
        <v>0</v>
      </c>
      <c r="L46" s="54">
        <f>IF(Horaires356[[#This Row],[PNP Fin]]=0,0,IF(Horaires356[[#This Row],[PNP Fin]]&lt;Horaires356[[#This Row],[début]],1,0)+Horaires356[[#This Row],[PNP Fin]])</f>
        <v>0</v>
      </c>
      <c r="M46" s="54">
        <f>IF(Horaires356[[#This Row],[Fin]]&lt;Horaires356[[#This Row],[début]],1,0)+Horaires356[[#This Row],[Fin]]</f>
        <v>0</v>
      </c>
      <c r="N46" s="35">
        <f>IF(Horaires356[[#This Row],[Fin]]&lt;Horaires356[[#This Row],[début]],MAX(0,MIN(Horaires356[[#This Row],[Fin corrigée si nuit]],fin_nuit)-MAX(Horaires356[[#This Row],[début]],deb_nuit))*24,(MAX(deb_nuit,Horaires356[[#This Row],[Fin]])-MAX(deb_nuit,Horaires356[[#This Row],[début]])+MAX(MIN(fin_nuit-1,Horaires356[[#This Row],[Fin]])-MIN(fin_nuit-1,Horaires356[[#This Row],[début]]),0))*24)</f>
        <v>0</v>
      </c>
      <c r="O46" s="55">
        <f>(MAX(0,MIN(Horaires356[[#This Row],[Fin corrigée si nuit]],fin_nuit)-MAX(Horaires356[[#This Row],[début]],deb_nuit))-IF(Horaires356[[#This Row],[PNP Début]]=0,0,MIN(Horaires356[[#This Row],[PNP Fin corrigée]],fin_nuit)-MAX(Horaires356[[#This Row],[PNP Début corrigé]],deb_nuit)))*24</f>
        <v>0</v>
      </c>
      <c r="P46" s="55">
        <f>(IF(WEEKDAY(Horaires356[[#This Row],[Date]],2)=7,MAX(0,MIN(fin_dimJF,Horaires356[[#This Row],[Fin corrigée si nuit]])-MAX(deb_dimJF,Horaires356[[#This Row],[début]])),0)+IF(WEEKDAY(Horaires356[[#This Row],[Date]],2)=6,MAX(0,Horaires356[[#This Row],[Fin corrigée si nuit]]-(1+deb_dimJF)),0))*24</f>
        <v>0</v>
      </c>
      <c r="Q46" s="55">
        <f>(IF(WEEKDAY(Horaires356[[#This Row],[Date]],2)=7,MAX(0,MIN(fin_dimJF,Horaires356[[#This Row],[Fin corrigée si nuit]])-MAX(deb_dimJF,Horaires356[[#This Row],[début]])),0)+IF(WEEKDAY(Horaires356[[#This Row],[Date]],2)=6,MAX(0,Horaires356[[#This Row],[Fin corrigée si nuit]]-(1+deb_dimJF)),0))*24-
(IF(WEEKDAY(Horaires356[[#This Row],[Date]],2)=7,MAX(0,MIN(fin_dimJF,Horaires356[[#This Row],[PNP Fin corrigée]])-MAX(deb_dimJF,Horaires356[[#This Row],[PNP Début corrigé]])),0)+IF(WEEKDAY(Horaires356[[#This Row],[Date]],2)=6,MAX(0,Horaires356[[#This Row],[PNP Fin corrigée]]-(1+deb_dimJF)),0))*24</f>
        <v>0</v>
      </c>
      <c r="R46" s="55">
        <f>(IF(COUNTIF(JF,Horaires356[[#This Row],[Date]]),MAX(0,MIN(fin_dimJF,Horaires356[[#This Row],[Fin corrigée si nuit]])-MAX(deb_dimJF,Horaires356[[#This Row],[début]])),0)+IF(COUNTIF(JF,Horaires356[[#This Row],[Date]]+1),MAX(0,Horaires356[[#This Row],[Fin corrigée si nuit]]-(1+deb_dimJF)),0))*24</f>
        <v>0</v>
      </c>
      <c r="S46" s="55">
        <f>(IF(COUNTIF(JF,Horaires356[[#This Row],[Date]]),MAX(0,MIN(fin_dimJF,Horaires356[[#This Row],[Fin corrigée si nuit]])-MAX(deb_dimJF,Horaires356[[#This Row],[début]])),0)+IF(COUNTIF(JF,Horaires356[[#This Row],[Date]]+1),MAX(0,Horaires356[[#This Row],[Fin corrigée si nuit]]-(1+deb_dimJF)),0))*24-
(IF(COUNTIF(JF,Horaires356[[#This Row],[Date]]),MAX(0,MIN(fin_dimJF,Horaires356[[#This Row],[PNP Fin corrigée]])-MAX(deb_dimJF,Horaires356[[#This Row],[PNP Début corrigé]])),0)+IF(COUNTIF(JF,Horaires356[[#This Row],[Date]]+1),MAX(0,Horaires356[[#This Row],[PNP Fin corrigée]]-(1+deb_dimJF)),0))*24</f>
        <v>0</v>
      </c>
    </row>
    <row r="47" spans="1:19" x14ac:dyDescent="0.35">
      <c r="A47" s="5"/>
      <c r="B47" s="1"/>
      <c r="C47" s="2"/>
      <c r="D47" s="2"/>
      <c r="E47" s="3"/>
      <c r="F47" s="3"/>
      <c r="G47" s="3"/>
      <c r="H47" s="3"/>
      <c r="I47" s="51">
        <f>0.1*(Horaires356[[#This Row],[Heures de nuit]]+Horaires356[[#This Row],[heures jour dimanche]]+Horaires356[[#This Row],[heures jour fériés]])</f>
        <v>0</v>
      </c>
      <c r="J47" s="52">
        <f>(MOD(Horaires356[[#This Row],[Fin]]-Horaires356[[#This Row],[début]],1)-MOD(Horaires356[[#This Row],[PNP Fin]]-Horaires356[[#This Row],[PNP Début]],1))*24</f>
        <v>0</v>
      </c>
      <c r="K47" s="53">
        <f>IF(Horaires356[[#This Row],[PNP Début]]=0,0,IF(Horaires356[[#This Row],[PNP Début]]&lt;Horaires356[[#This Row],[début]],1,0)+Horaires356[[#This Row],[PNP Début]])</f>
        <v>0</v>
      </c>
      <c r="L47" s="54">
        <f>IF(Horaires356[[#This Row],[PNP Fin]]=0,0,IF(Horaires356[[#This Row],[PNP Fin]]&lt;Horaires356[[#This Row],[début]],1,0)+Horaires356[[#This Row],[PNP Fin]])</f>
        <v>0</v>
      </c>
      <c r="M47" s="54">
        <f>IF(Horaires356[[#This Row],[Fin]]&lt;Horaires356[[#This Row],[début]],1,0)+Horaires356[[#This Row],[Fin]]</f>
        <v>0</v>
      </c>
      <c r="N47" s="35">
        <f>IF(Horaires356[[#This Row],[Fin]]&lt;Horaires356[[#This Row],[début]],MAX(0,MIN(Horaires356[[#This Row],[Fin corrigée si nuit]],fin_nuit)-MAX(Horaires356[[#This Row],[début]],deb_nuit))*24,(MAX(deb_nuit,Horaires356[[#This Row],[Fin]])-MAX(deb_nuit,Horaires356[[#This Row],[début]])+MAX(MIN(fin_nuit-1,Horaires356[[#This Row],[Fin]])-MIN(fin_nuit-1,Horaires356[[#This Row],[début]]),0))*24)</f>
        <v>0</v>
      </c>
      <c r="O47" s="55">
        <f>(MAX(0,MIN(Horaires356[[#This Row],[Fin corrigée si nuit]],fin_nuit)-MAX(Horaires356[[#This Row],[début]],deb_nuit))-IF(Horaires356[[#This Row],[PNP Début]]=0,0,MIN(Horaires356[[#This Row],[PNP Fin corrigée]],fin_nuit)-MAX(Horaires356[[#This Row],[PNP Début corrigé]],deb_nuit)))*24</f>
        <v>0</v>
      </c>
      <c r="P47" s="55">
        <f>(IF(WEEKDAY(Horaires356[[#This Row],[Date]],2)=7,MAX(0,MIN(fin_dimJF,Horaires356[[#This Row],[Fin corrigée si nuit]])-MAX(deb_dimJF,Horaires356[[#This Row],[début]])),0)+IF(WEEKDAY(Horaires356[[#This Row],[Date]],2)=6,MAX(0,Horaires356[[#This Row],[Fin corrigée si nuit]]-(1+deb_dimJF)),0))*24</f>
        <v>0</v>
      </c>
      <c r="Q47" s="55">
        <f>(IF(WEEKDAY(Horaires356[[#This Row],[Date]],2)=7,MAX(0,MIN(fin_dimJF,Horaires356[[#This Row],[Fin corrigée si nuit]])-MAX(deb_dimJF,Horaires356[[#This Row],[début]])),0)+IF(WEEKDAY(Horaires356[[#This Row],[Date]],2)=6,MAX(0,Horaires356[[#This Row],[Fin corrigée si nuit]]-(1+deb_dimJF)),0))*24-
(IF(WEEKDAY(Horaires356[[#This Row],[Date]],2)=7,MAX(0,MIN(fin_dimJF,Horaires356[[#This Row],[PNP Fin corrigée]])-MAX(deb_dimJF,Horaires356[[#This Row],[PNP Début corrigé]])),0)+IF(WEEKDAY(Horaires356[[#This Row],[Date]],2)=6,MAX(0,Horaires356[[#This Row],[PNP Fin corrigée]]-(1+deb_dimJF)),0))*24</f>
        <v>0</v>
      </c>
      <c r="R47" s="55">
        <f>(IF(COUNTIF(JF,Horaires356[[#This Row],[Date]]),MAX(0,MIN(fin_dimJF,Horaires356[[#This Row],[Fin corrigée si nuit]])-MAX(deb_dimJF,Horaires356[[#This Row],[début]])),0)+IF(COUNTIF(JF,Horaires356[[#This Row],[Date]]+1),MAX(0,Horaires356[[#This Row],[Fin corrigée si nuit]]-(1+deb_dimJF)),0))*24</f>
        <v>0</v>
      </c>
      <c r="S47" s="55">
        <f>(IF(COUNTIF(JF,Horaires356[[#This Row],[Date]]),MAX(0,MIN(fin_dimJF,Horaires356[[#This Row],[Fin corrigée si nuit]])-MAX(deb_dimJF,Horaires356[[#This Row],[début]])),0)+IF(COUNTIF(JF,Horaires356[[#This Row],[Date]]+1),MAX(0,Horaires356[[#This Row],[Fin corrigée si nuit]]-(1+deb_dimJF)),0))*24-
(IF(COUNTIF(JF,Horaires356[[#This Row],[Date]]),MAX(0,MIN(fin_dimJF,Horaires356[[#This Row],[PNP Fin corrigée]])-MAX(deb_dimJF,Horaires356[[#This Row],[PNP Début corrigé]])),0)+IF(COUNTIF(JF,Horaires356[[#This Row],[Date]]+1),MAX(0,Horaires356[[#This Row],[PNP Fin corrigée]]-(1+deb_dimJF)),0))*24</f>
        <v>0</v>
      </c>
    </row>
    <row r="48" spans="1:19" x14ac:dyDescent="0.35">
      <c r="A48" s="5"/>
      <c r="B48" s="1"/>
      <c r="C48" s="2"/>
      <c r="D48" s="2"/>
      <c r="E48" s="3"/>
      <c r="F48" s="3"/>
      <c r="G48" s="3"/>
      <c r="H48" s="3"/>
      <c r="I48" s="51">
        <f>0.1*(Horaires356[[#This Row],[Heures de nuit]]+Horaires356[[#This Row],[heures jour dimanche]]+Horaires356[[#This Row],[heures jour fériés]])</f>
        <v>0</v>
      </c>
      <c r="J48" s="52">
        <f>(MOD(Horaires356[[#This Row],[Fin]]-Horaires356[[#This Row],[début]],1)-MOD(Horaires356[[#This Row],[PNP Fin]]-Horaires356[[#This Row],[PNP Début]],1))*24</f>
        <v>0</v>
      </c>
      <c r="K48" s="53">
        <f>IF(Horaires356[[#This Row],[PNP Début]]=0,0,IF(Horaires356[[#This Row],[PNP Début]]&lt;Horaires356[[#This Row],[début]],1,0)+Horaires356[[#This Row],[PNP Début]])</f>
        <v>0</v>
      </c>
      <c r="L48" s="54">
        <f>IF(Horaires356[[#This Row],[PNP Fin]]=0,0,IF(Horaires356[[#This Row],[PNP Fin]]&lt;Horaires356[[#This Row],[début]],1,0)+Horaires356[[#This Row],[PNP Fin]])</f>
        <v>0</v>
      </c>
      <c r="M48" s="54">
        <f>IF(Horaires356[[#This Row],[Fin]]&lt;Horaires356[[#This Row],[début]],1,0)+Horaires356[[#This Row],[Fin]]</f>
        <v>0</v>
      </c>
      <c r="N48" s="35">
        <f>IF(Horaires356[[#This Row],[Fin]]&lt;Horaires356[[#This Row],[début]],MAX(0,MIN(Horaires356[[#This Row],[Fin corrigée si nuit]],fin_nuit)-MAX(Horaires356[[#This Row],[début]],deb_nuit))*24,(MAX(deb_nuit,Horaires356[[#This Row],[Fin]])-MAX(deb_nuit,Horaires356[[#This Row],[début]])+MAX(MIN(fin_nuit-1,Horaires356[[#This Row],[Fin]])-MIN(fin_nuit-1,Horaires356[[#This Row],[début]]),0))*24)</f>
        <v>0</v>
      </c>
      <c r="O48" s="55">
        <f>(MAX(0,MIN(Horaires356[[#This Row],[Fin corrigée si nuit]],fin_nuit)-MAX(Horaires356[[#This Row],[début]],deb_nuit))-IF(Horaires356[[#This Row],[PNP Début]]=0,0,MIN(Horaires356[[#This Row],[PNP Fin corrigée]],fin_nuit)-MAX(Horaires356[[#This Row],[PNP Début corrigé]],deb_nuit)))*24</f>
        <v>0</v>
      </c>
      <c r="P48" s="55">
        <f>(IF(WEEKDAY(Horaires356[[#This Row],[Date]],2)=7,MAX(0,MIN(fin_dimJF,Horaires356[[#This Row],[Fin corrigée si nuit]])-MAX(deb_dimJF,Horaires356[[#This Row],[début]])),0)+IF(WEEKDAY(Horaires356[[#This Row],[Date]],2)=6,MAX(0,Horaires356[[#This Row],[Fin corrigée si nuit]]-(1+deb_dimJF)),0))*24</f>
        <v>0</v>
      </c>
      <c r="Q48" s="55">
        <f>(IF(WEEKDAY(Horaires356[[#This Row],[Date]],2)=7,MAX(0,MIN(fin_dimJF,Horaires356[[#This Row],[Fin corrigée si nuit]])-MAX(deb_dimJF,Horaires356[[#This Row],[début]])),0)+IF(WEEKDAY(Horaires356[[#This Row],[Date]],2)=6,MAX(0,Horaires356[[#This Row],[Fin corrigée si nuit]]-(1+deb_dimJF)),0))*24-
(IF(WEEKDAY(Horaires356[[#This Row],[Date]],2)=7,MAX(0,MIN(fin_dimJF,Horaires356[[#This Row],[PNP Fin corrigée]])-MAX(deb_dimJF,Horaires356[[#This Row],[PNP Début corrigé]])),0)+IF(WEEKDAY(Horaires356[[#This Row],[Date]],2)=6,MAX(0,Horaires356[[#This Row],[PNP Fin corrigée]]-(1+deb_dimJF)),0))*24</f>
        <v>0</v>
      </c>
      <c r="R48" s="55">
        <f>(IF(COUNTIF(JF,Horaires356[[#This Row],[Date]]),MAX(0,MIN(fin_dimJF,Horaires356[[#This Row],[Fin corrigée si nuit]])-MAX(deb_dimJF,Horaires356[[#This Row],[début]])),0)+IF(COUNTIF(JF,Horaires356[[#This Row],[Date]]+1),MAX(0,Horaires356[[#This Row],[Fin corrigée si nuit]]-(1+deb_dimJF)),0))*24</f>
        <v>0</v>
      </c>
      <c r="S48" s="55">
        <f>(IF(COUNTIF(JF,Horaires356[[#This Row],[Date]]),MAX(0,MIN(fin_dimJF,Horaires356[[#This Row],[Fin corrigée si nuit]])-MAX(deb_dimJF,Horaires356[[#This Row],[début]])),0)+IF(COUNTIF(JF,Horaires356[[#This Row],[Date]]+1),MAX(0,Horaires356[[#This Row],[Fin corrigée si nuit]]-(1+deb_dimJF)),0))*24-
(IF(COUNTIF(JF,Horaires356[[#This Row],[Date]]),MAX(0,MIN(fin_dimJF,Horaires356[[#This Row],[PNP Fin corrigée]])-MAX(deb_dimJF,Horaires356[[#This Row],[PNP Début corrigé]])),0)+IF(COUNTIF(JF,Horaires356[[#This Row],[Date]]+1),MAX(0,Horaires356[[#This Row],[PNP Fin corrigée]]-(1+deb_dimJF)),0))*24</f>
        <v>0</v>
      </c>
    </row>
    <row r="49" spans="1:19" ht="15" thickBot="1" x14ac:dyDescent="0.4">
      <c r="A49" s="5"/>
      <c r="B49" s="1"/>
      <c r="C49" s="2"/>
      <c r="D49" s="2"/>
      <c r="E49" s="3"/>
      <c r="F49" s="3"/>
      <c r="G49" s="3"/>
      <c r="H49" s="3"/>
      <c r="I49" s="51">
        <f>0.1*(Horaires356[[#This Row],[Heures de nuit]]+Horaires356[[#This Row],[heures jour dimanche]]+Horaires356[[#This Row],[heures jour fériés]])</f>
        <v>0</v>
      </c>
      <c r="J49" s="52">
        <f>(MOD(Horaires356[[#This Row],[Fin]]-Horaires356[[#This Row],[début]],1)-MOD(Horaires356[[#This Row],[PNP Fin]]-Horaires356[[#This Row],[PNP Début]],1))*24</f>
        <v>0</v>
      </c>
      <c r="K49" s="53">
        <f>IF(Horaires356[[#This Row],[PNP Début]]=0,0,IF(Horaires356[[#This Row],[PNP Début]]&lt;Horaires356[[#This Row],[début]],1,0)+Horaires356[[#This Row],[PNP Début]])</f>
        <v>0</v>
      </c>
      <c r="L49" s="54">
        <f>IF(Horaires356[[#This Row],[PNP Fin]]=0,0,IF(Horaires356[[#This Row],[PNP Fin]]&lt;Horaires356[[#This Row],[début]],1,0)+Horaires356[[#This Row],[PNP Fin]])</f>
        <v>0</v>
      </c>
      <c r="M49" s="54">
        <f>IF(Horaires356[[#This Row],[Fin]]&lt;Horaires356[[#This Row],[début]],1,0)+Horaires356[[#This Row],[Fin]]</f>
        <v>0</v>
      </c>
      <c r="N49" s="35">
        <f>IF(Horaires356[[#This Row],[Fin]]&lt;Horaires356[[#This Row],[début]],MAX(0,MIN(Horaires356[[#This Row],[Fin corrigée si nuit]],fin_nuit)-MAX(Horaires356[[#This Row],[début]],deb_nuit))*24,(MAX(deb_nuit,Horaires356[[#This Row],[Fin]])-MAX(deb_nuit,Horaires356[[#This Row],[début]])+MAX(MIN(fin_nuit-1,Horaires356[[#This Row],[Fin]])-MIN(fin_nuit-1,Horaires356[[#This Row],[début]]),0))*24)</f>
        <v>0</v>
      </c>
      <c r="O49" s="55">
        <f>(MAX(0,MIN(Horaires356[[#This Row],[Fin corrigée si nuit]],fin_nuit)-MAX(Horaires356[[#This Row],[début]],deb_nuit))-IF(Horaires356[[#This Row],[PNP Début]]=0,0,MIN(Horaires356[[#This Row],[PNP Fin corrigée]],fin_nuit)-MAX(Horaires356[[#This Row],[PNP Début corrigé]],deb_nuit)))*24</f>
        <v>0</v>
      </c>
      <c r="P49" s="55">
        <f>(IF(WEEKDAY(Horaires356[[#This Row],[Date]],2)=7,MAX(0,MIN(fin_dimJF,Horaires356[[#This Row],[Fin corrigée si nuit]])-MAX(deb_dimJF,Horaires356[[#This Row],[début]])),0)+IF(WEEKDAY(Horaires356[[#This Row],[Date]],2)=6,MAX(0,Horaires356[[#This Row],[Fin corrigée si nuit]]-(1+deb_dimJF)),0))*24</f>
        <v>0</v>
      </c>
      <c r="Q49" s="55">
        <f>(IF(WEEKDAY(Horaires356[[#This Row],[Date]],2)=7,MAX(0,MIN(fin_dimJF,Horaires356[[#This Row],[Fin corrigée si nuit]])-MAX(deb_dimJF,Horaires356[[#This Row],[début]])),0)+IF(WEEKDAY(Horaires356[[#This Row],[Date]],2)=6,MAX(0,Horaires356[[#This Row],[Fin corrigée si nuit]]-(1+deb_dimJF)),0))*24-
(IF(WEEKDAY(Horaires356[[#This Row],[Date]],2)=7,MAX(0,MIN(fin_dimJF,Horaires356[[#This Row],[PNP Fin corrigée]])-MAX(deb_dimJF,Horaires356[[#This Row],[PNP Début corrigé]])),0)+IF(WEEKDAY(Horaires356[[#This Row],[Date]],2)=6,MAX(0,Horaires356[[#This Row],[PNP Fin corrigée]]-(1+deb_dimJF)),0))*24</f>
        <v>0</v>
      </c>
      <c r="R49" s="55">
        <f>(IF(COUNTIF(JF,Horaires356[[#This Row],[Date]]),MAX(0,MIN(fin_dimJF,Horaires356[[#This Row],[Fin corrigée si nuit]])-MAX(deb_dimJF,Horaires356[[#This Row],[début]])),0)+IF(COUNTIF(JF,Horaires356[[#This Row],[Date]]+1),MAX(0,Horaires356[[#This Row],[Fin corrigée si nuit]]-(1+deb_dimJF)),0))*24</f>
        <v>0</v>
      </c>
      <c r="S49" s="55">
        <f>(IF(COUNTIF(JF,Horaires356[[#This Row],[Date]]),MAX(0,MIN(fin_dimJF,Horaires356[[#This Row],[Fin corrigée si nuit]])-MAX(deb_dimJF,Horaires356[[#This Row],[début]])),0)+IF(COUNTIF(JF,Horaires356[[#This Row],[Date]]+1),MAX(0,Horaires356[[#This Row],[Fin corrigée si nuit]]-(1+deb_dimJF)),0))*24-
(IF(COUNTIF(JF,Horaires356[[#This Row],[Date]]),MAX(0,MIN(fin_dimJF,Horaires356[[#This Row],[PNP Fin corrigée]])-MAX(deb_dimJF,Horaires356[[#This Row],[PNP Début corrigé]])),0)+IF(COUNTIF(JF,Horaires356[[#This Row],[Date]]+1),MAX(0,Horaires356[[#This Row],[PNP Fin corrigée]]-(1+deb_dimJF)),0))*24</f>
        <v>0</v>
      </c>
    </row>
    <row r="50" spans="1:19" ht="16" thickBot="1" x14ac:dyDescent="0.4">
      <c r="A50" s="56"/>
      <c r="B50" s="19"/>
      <c r="C50" s="19"/>
      <c r="D50" s="19"/>
      <c r="E50" s="113" t="s">
        <v>29</v>
      </c>
      <c r="F50" s="114"/>
      <c r="G50" s="114"/>
      <c r="H50" s="115"/>
      <c r="I50" s="57">
        <f>SUM(Horaires356[Majoration])</f>
        <v>0</v>
      </c>
      <c r="J50" s="58">
        <f>SUM(Horaires356[Heures totales payées])</f>
        <v>0</v>
      </c>
      <c r="K50" s="19"/>
      <c r="L50" s="19"/>
      <c r="M50" s="19"/>
      <c r="N50" s="19"/>
      <c r="O50" s="19"/>
      <c r="P50" s="19"/>
      <c r="Q50" s="19"/>
      <c r="R50" s="19"/>
      <c r="S50" s="19"/>
    </row>
    <row r="51" spans="1:19" ht="17.399999999999999" customHeight="1" x14ac:dyDescent="0.35">
      <c r="A51" s="116" t="s">
        <v>30</v>
      </c>
      <c r="B51" s="116"/>
      <c r="C51" s="116"/>
      <c r="D51" s="116"/>
      <c r="E51" s="19"/>
      <c r="F51" s="19"/>
      <c r="G51" s="117" t="s">
        <v>31</v>
      </c>
      <c r="H51" s="117"/>
      <c r="I51" s="117"/>
      <c r="J51" s="117"/>
      <c r="K51" s="19"/>
      <c r="L51" s="19"/>
      <c r="M51" s="19"/>
      <c r="N51" s="19"/>
      <c r="O51" s="19"/>
      <c r="P51" s="19"/>
      <c r="Q51" s="19"/>
      <c r="R51" s="19"/>
      <c r="S51" s="19"/>
    </row>
    <row r="52" spans="1:19" x14ac:dyDescent="0.35">
      <c r="A52" s="118"/>
      <c r="B52" s="119"/>
      <c r="C52" s="119"/>
      <c r="D52" s="120"/>
      <c r="E52" s="56"/>
      <c r="F52" s="19"/>
      <c r="G52" s="118"/>
      <c r="H52" s="119"/>
      <c r="I52" s="119"/>
      <c r="J52" s="119"/>
      <c r="K52" s="19"/>
      <c r="L52" s="19"/>
      <c r="M52" s="19"/>
      <c r="N52" s="19"/>
      <c r="O52" s="19"/>
      <c r="P52" s="19"/>
      <c r="Q52" s="19"/>
      <c r="R52" s="19"/>
      <c r="S52" s="19"/>
    </row>
    <row r="53" spans="1:19" x14ac:dyDescent="0.35">
      <c r="A53" s="121"/>
      <c r="B53" s="122"/>
      <c r="C53" s="122"/>
      <c r="D53" s="123"/>
      <c r="E53" s="19"/>
      <c r="F53" s="19"/>
      <c r="G53" s="121"/>
      <c r="H53" s="122"/>
      <c r="I53" s="122"/>
      <c r="J53" s="122"/>
      <c r="K53" s="19"/>
      <c r="L53" s="19"/>
      <c r="M53" s="19"/>
      <c r="N53" s="19"/>
      <c r="O53" s="19"/>
      <c r="P53" s="19"/>
      <c r="Q53" s="19"/>
      <c r="R53" s="19"/>
      <c r="S53" s="19"/>
    </row>
    <row r="54" spans="1:19" ht="7.75" customHeight="1" x14ac:dyDescent="0.35">
      <c r="A54" s="124"/>
      <c r="B54" s="125"/>
      <c r="C54" s="125"/>
      <c r="D54" s="126"/>
      <c r="E54" s="56"/>
      <c r="F54" s="19"/>
      <c r="G54" s="124"/>
      <c r="H54" s="125"/>
      <c r="I54" s="125"/>
      <c r="J54" s="125"/>
      <c r="K54" s="19"/>
      <c r="L54" s="19"/>
      <c r="M54" s="19"/>
      <c r="N54" s="19"/>
      <c r="O54" s="19"/>
      <c r="P54" s="19"/>
      <c r="Q54" s="19"/>
      <c r="R54" s="19"/>
      <c r="S54" s="19"/>
    </row>
    <row r="55" spans="1:19" x14ac:dyDescent="0.35">
      <c r="A55" s="56"/>
      <c r="B55" s="19"/>
      <c r="C55" s="19"/>
      <c r="D55" s="19"/>
      <c r="E55" s="19"/>
      <c r="F55" s="19"/>
      <c r="G55" s="19"/>
      <c r="H55" s="19"/>
      <c r="I55" s="19"/>
      <c r="J55" s="61"/>
      <c r="K55" s="19"/>
      <c r="L55" s="19"/>
      <c r="M55" s="19"/>
      <c r="N55" s="19"/>
      <c r="O55" s="19"/>
      <c r="P55" s="19"/>
      <c r="Q55" s="19"/>
      <c r="R55" s="19"/>
      <c r="S55" s="19"/>
    </row>
    <row r="56" spans="1:19" x14ac:dyDescent="0.35">
      <c r="A56" s="19"/>
      <c r="B56" s="19"/>
      <c r="C56" s="19"/>
      <c r="D56" s="19"/>
      <c r="E56" s="19"/>
      <c r="F56" s="19"/>
      <c r="G56" s="19"/>
      <c r="H56" s="19"/>
      <c r="I56" s="19"/>
      <c r="J56" s="20"/>
      <c r="K56" s="19"/>
      <c r="L56" s="19"/>
      <c r="M56" s="19"/>
      <c r="N56" s="19"/>
      <c r="O56" s="19"/>
      <c r="P56" s="19"/>
      <c r="Q56" s="19"/>
      <c r="R56" s="19"/>
      <c r="S56" s="19"/>
    </row>
    <row r="57" spans="1:19" x14ac:dyDescent="0.35">
      <c r="A57" s="19"/>
      <c r="B57" s="19"/>
      <c r="C57" s="19"/>
      <c r="D57" s="19"/>
      <c r="E57" s="19"/>
      <c r="F57" s="19"/>
      <c r="G57" s="19"/>
      <c r="H57" s="19"/>
      <c r="I57" s="19"/>
      <c r="J57" s="20"/>
      <c r="K57" s="19"/>
      <c r="L57" s="19"/>
      <c r="M57" s="19"/>
      <c r="N57" s="19"/>
      <c r="O57" s="19"/>
      <c r="P57" s="19"/>
      <c r="Q57" s="19"/>
      <c r="R57" s="19"/>
      <c r="S57" s="19"/>
    </row>
    <row r="58" spans="1:19" x14ac:dyDescent="0.35">
      <c r="A58" s="19"/>
      <c r="B58" s="19"/>
      <c r="C58" s="19"/>
      <c r="D58" s="19"/>
      <c r="E58" s="19"/>
      <c r="F58" s="19"/>
      <c r="G58" s="19"/>
      <c r="H58" s="19"/>
      <c r="I58" s="19"/>
      <c r="J58" s="20"/>
      <c r="K58" s="19"/>
      <c r="L58" s="19"/>
      <c r="M58" s="19"/>
      <c r="N58" s="19"/>
      <c r="O58" s="19"/>
      <c r="P58" s="19"/>
      <c r="Q58" s="19"/>
      <c r="R58" s="19"/>
      <c r="S58" s="19"/>
    </row>
    <row r="59" spans="1:19" x14ac:dyDescent="0.35">
      <c r="A59" s="19"/>
      <c r="B59" s="19"/>
      <c r="C59" s="19"/>
      <c r="D59" s="19"/>
      <c r="E59" s="19"/>
      <c r="F59" s="19"/>
      <c r="G59" s="19"/>
      <c r="H59" s="19"/>
      <c r="I59" s="19"/>
      <c r="J59" s="20"/>
      <c r="K59" s="19"/>
      <c r="L59" s="19"/>
      <c r="M59" s="19"/>
      <c r="N59" s="19"/>
      <c r="O59" s="19"/>
      <c r="P59" s="19"/>
      <c r="Q59" s="19"/>
      <c r="R59" s="19"/>
      <c r="S59" s="19"/>
    </row>
    <row r="60" spans="1:19" x14ac:dyDescent="0.35">
      <c r="A60" s="19"/>
      <c r="B60" s="19"/>
      <c r="C60" s="19"/>
      <c r="D60" s="19"/>
      <c r="E60" s="19"/>
      <c r="F60" s="19"/>
      <c r="G60" s="19"/>
      <c r="H60" s="19"/>
      <c r="I60" s="19"/>
      <c r="J60" s="20"/>
      <c r="K60" s="19"/>
      <c r="L60" s="19"/>
      <c r="M60" s="19"/>
      <c r="N60" s="19"/>
      <c r="O60" s="19"/>
      <c r="P60" s="19"/>
      <c r="Q60" s="19"/>
      <c r="R60" s="19"/>
      <c r="S60" s="19"/>
    </row>
  </sheetData>
  <sheetProtection selectLockedCells="1"/>
  <mergeCells count="20">
    <mergeCell ref="E50:H50"/>
    <mergeCell ref="A51:D51"/>
    <mergeCell ref="G51:J51"/>
    <mergeCell ref="A52:D54"/>
    <mergeCell ref="G52:J54"/>
    <mergeCell ref="A9:A11"/>
    <mergeCell ref="B9:B11"/>
    <mergeCell ref="C9:D9"/>
    <mergeCell ref="E9:H9"/>
    <mergeCell ref="I9:I11"/>
    <mergeCell ref="J9:J11"/>
    <mergeCell ref="C10:C11"/>
    <mergeCell ref="D10:D11"/>
    <mergeCell ref="E10:F10"/>
    <mergeCell ref="G10:H10"/>
    <mergeCell ref="A1:B2"/>
    <mergeCell ref="A3:J4"/>
    <mergeCell ref="D5:F5"/>
    <mergeCell ref="G5:H5"/>
    <mergeCell ref="H1:J1"/>
  </mergeCells>
  <dataValidations count="3">
    <dataValidation allowBlank="1" showInputMessage="1" showErrorMessage="1" error="Tapez les heures sous le format_x000a_00:00" sqref="K12:N49"/>
    <dataValidation type="time" allowBlank="1" showInputMessage="1" showErrorMessage="1" error="Tapez les heures sous le format_x000a_00:00" sqref="C13:H49">
      <formula1>0</formula1>
      <formula2>0.999305555555556</formula2>
    </dataValidation>
    <dataValidation type="date" operator="greaterThan" allowBlank="1" showInputMessage="1" showErrorMessage="1" error="Tapez le mois sous le format suivant_x000a_09/17" promptTitle="Mois du relevé" sqref="J5">
      <formula1>42736</formula1>
    </dataValidation>
  </dataValidations>
  <printOptions horizontalCentered="1"/>
  <pageMargins left="0.23622047244094491" right="0.23622047244094491" top="0" bottom="0" header="0.31496062992125984" footer="0.31496062992125984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4097" r:id="rId4" name="CommandButton1">
          <controlPr defaultSize="0" print="0" autoLine="0" r:id="rId5">
            <anchor moveWithCells="1">
              <from>
                <xdr:col>9</xdr:col>
                <xdr:colOff>762000</xdr:colOff>
                <xdr:row>0</xdr:row>
                <xdr:rowOff>184150</xdr:rowOff>
              </from>
              <to>
                <xdr:col>20</xdr:col>
                <xdr:colOff>12700</xdr:colOff>
                <xdr:row>4</xdr:row>
                <xdr:rowOff>69850</xdr:rowOff>
              </to>
            </anchor>
          </controlPr>
        </control>
      </mc:Choice>
      <mc:Fallback>
        <control shapeId="4097" r:id="rId4" name="CommandButton1"/>
      </mc:Fallback>
    </mc:AlternateContent>
  </controls>
  <tableParts count="1">
    <tablePart r:id="rId6"/>
  </tableParts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"/>
  <dimension ref="A1:S60"/>
  <sheetViews>
    <sheetView zoomScale="85" zoomScaleNormal="85" workbookViewId="0">
      <selection activeCell="A26" sqref="A26"/>
    </sheetView>
  </sheetViews>
  <sheetFormatPr baseColWidth="10" defaultRowHeight="14.5" x14ac:dyDescent="0.35"/>
  <cols>
    <col min="1" max="1" width="20.08984375" customWidth="1"/>
    <col min="2" max="2" width="12.90625" customWidth="1"/>
    <col min="3" max="3" width="8.90625" customWidth="1"/>
    <col min="4" max="4" width="7.453125" customWidth="1"/>
    <col min="5" max="5" width="7" customWidth="1"/>
    <col min="6" max="6" width="6.81640625" customWidth="1"/>
    <col min="7" max="7" width="7" customWidth="1"/>
    <col min="8" max="8" width="7.81640625" customWidth="1"/>
    <col min="9" max="9" width="10.81640625" customWidth="1"/>
    <col min="10" max="10" width="11.1796875" style="15" bestFit="1" customWidth="1"/>
    <col min="11" max="11" width="14.453125" hidden="1" customWidth="1"/>
    <col min="12" max="12" width="12.08984375" hidden="1" customWidth="1"/>
    <col min="13" max="13" width="16.81640625" hidden="1" customWidth="1"/>
    <col min="14" max="15" width="17.6328125" hidden="1" customWidth="1"/>
    <col min="16" max="16" width="15" hidden="1" customWidth="1"/>
    <col min="17" max="17" width="17.81640625" hidden="1" customWidth="1"/>
    <col min="18" max="18" width="15" hidden="1" customWidth="1"/>
    <col min="19" max="19" width="18.08984375" hidden="1" customWidth="1"/>
  </cols>
  <sheetData>
    <row r="1" spans="1:19" ht="15.65" customHeight="1" x14ac:dyDescent="0.35">
      <c r="A1" s="101"/>
      <c r="B1" s="101"/>
      <c r="C1" s="16"/>
      <c r="D1" s="16"/>
      <c r="E1" s="17"/>
      <c r="F1" s="17"/>
      <c r="G1" s="17"/>
      <c r="H1" s="18" t="s">
        <v>35</v>
      </c>
      <c r="I1" s="18"/>
      <c r="J1" s="18"/>
      <c r="K1" s="16"/>
      <c r="L1" s="16"/>
      <c r="M1" s="16"/>
      <c r="N1" s="16"/>
      <c r="O1" s="19"/>
      <c r="P1" s="19"/>
      <c r="Q1" s="19"/>
      <c r="R1" s="19"/>
      <c r="S1" s="19"/>
    </row>
    <row r="2" spans="1:19" ht="14.4" customHeight="1" x14ac:dyDescent="0.35">
      <c r="A2" s="101"/>
      <c r="B2" s="101"/>
      <c r="C2" s="16"/>
      <c r="D2" s="16"/>
      <c r="E2" s="16"/>
      <c r="F2" s="16"/>
      <c r="G2" s="16"/>
      <c r="H2" s="16"/>
      <c r="I2" s="16"/>
      <c r="J2" s="20"/>
      <c r="K2" s="16"/>
      <c r="L2" s="16"/>
      <c r="M2" s="16"/>
      <c r="N2" s="16"/>
      <c r="O2" s="19"/>
      <c r="P2" s="19"/>
      <c r="Q2" s="19"/>
      <c r="R2" s="19"/>
      <c r="S2" s="19"/>
    </row>
    <row r="3" spans="1:19" ht="14.4" customHeight="1" x14ac:dyDescent="0.35">
      <c r="A3" s="102" t="s">
        <v>37</v>
      </c>
      <c r="B3" s="102"/>
      <c r="C3" s="102"/>
      <c r="D3" s="102"/>
      <c r="E3" s="102"/>
      <c r="F3" s="102"/>
      <c r="G3" s="102"/>
      <c r="H3" s="102"/>
      <c r="I3" s="102"/>
      <c r="J3" s="102"/>
      <c r="K3" s="16"/>
      <c r="L3" s="16"/>
      <c r="M3" s="16"/>
      <c r="N3" s="16"/>
      <c r="O3" s="19"/>
      <c r="P3" s="19"/>
      <c r="Q3" s="19"/>
      <c r="R3" s="19"/>
      <c r="S3" s="19"/>
    </row>
    <row r="4" spans="1:19" ht="19.25" customHeight="1" thickBot="1" x14ac:dyDescent="0.4">
      <c r="A4" s="103"/>
      <c r="B4" s="103"/>
      <c r="C4" s="103"/>
      <c r="D4" s="103"/>
      <c r="E4" s="103"/>
      <c r="F4" s="103"/>
      <c r="G4" s="103"/>
      <c r="H4" s="103"/>
      <c r="I4" s="103"/>
      <c r="J4" s="103"/>
      <c r="K4" s="19"/>
      <c r="L4" s="19"/>
      <c r="M4" s="19"/>
      <c r="N4" s="19"/>
      <c r="O4" s="19"/>
      <c r="P4" s="19"/>
      <c r="Q4" s="19"/>
      <c r="R4" s="19"/>
      <c r="S4" s="19"/>
    </row>
    <row r="5" spans="1:19" ht="19.75" customHeight="1" x14ac:dyDescent="0.35">
      <c r="A5" s="95" t="s">
        <v>49</v>
      </c>
      <c r="B5" s="96">
        <f>'Janvier 18'!B5</f>
        <v>0</v>
      </c>
      <c r="C5" s="21" t="s">
        <v>36</v>
      </c>
      <c r="D5" s="104">
        <f>'Janvier 18'!D5:F5</f>
        <v>0</v>
      </c>
      <c r="E5" s="105"/>
      <c r="F5" s="105"/>
      <c r="G5" s="106" t="s">
        <v>22</v>
      </c>
      <c r="H5" s="106"/>
      <c r="I5" s="64" t="str">
        <f ca="1">MID(CELL("filename",A1),FIND("]",CELL("filename",A1))+1,99)</f>
        <v>Février 18</v>
      </c>
      <c r="J5" s="97"/>
      <c r="K5" s="19"/>
      <c r="L5" s="19"/>
      <c r="M5" s="19"/>
      <c r="N5" s="19"/>
      <c r="O5" s="19"/>
      <c r="P5" s="19"/>
      <c r="Q5" s="19"/>
      <c r="R5" s="19"/>
      <c r="S5" s="19"/>
    </row>
    <row r="6" spans="1:19" ht="9.65" customHeight="1" x14ac:dyDescent="0.35">
      <c r="A6" s="22"/>
      <c r="B6" s="23"/>
      <c r="C6" s="23"/>
      <c r="D6" s="23"/>
      <c r="E6" s="23"/>
      <c r="F6" s="23"/>
      <c r="G6" s="23"/>
      <c r="H6" s="23"/>
      <c r="I6" s="23"/>
      <c r="J6" s="24"/>
      <c r="K6" s="19"/>
      <c r="L6" s="19"/>
      <c r="M6" s="19"/>
      <c r="N6" s="19"/>
      <c r="O6" s="19"/>
      <c r="P6" s="19"/>
      <c r="Q6" s="19"/>
      <c r="R6" s="19"/>
      <c r="S6" s="19"/>
    </row>
    <row r="7" spans="1:19" ht="15" thickBot="1" x14ac:dyDescent="0.4">
      <c r="A7" s="59" t="s">
        <v>23</v>
      </c>
      <c r="B7" s="98">
        <f>'Janvier 18'!B7</f>
        <v>0</v>
      </c>
      <c r="C7" s="25" t="s">
        <v>24</v>
      </c>
      <c r="D7" s="25"/>
      <c r="E7" s="98">
        <f>'Janvier 18'!E7</f>
        <v>0</v>
      </c>
      <c r="F7" s="25"/>
      <c r="G7" s="25"/>
      <c r="H7" s="25"/>
      <c r="I7" s="25"/>
      <c r="J7" s="26"/>
      <c r="K7" s="19"/>
      <c r="L7" s="19"/>
      <c r="M7" s="19"/>
      <c r="N7" s="19"/>
      <c r="O7" s="19"/>
      <c r="P7" s="19"/>
      <c r="Q7" s="19"/>
      <c r="R7" s="19"/>
      <c r="S7" s="19"/>
    </row>
    <row r="8" spans="1:19" ht="9.65" customHeight="1" x14ac:dyDescent="0.35">
      <c r="A8" s="19"/>
      <c r="B8" s="19"/>
      <c r="C8" s="19"/>
      <c r="D8" s="19"/>
      <c r="E8" s="19"/>
      <c r="F8" s="19"/>
      <c r="G8" s="19"/>
      <c r="H8" s="19"/>
      <c r="I8" s="19"/>
      <c r="J8" s="20"/>
      <c r="K8" s="19"/>
      <c r="L8" s="19"/>
      <c r="M8" s="19"/>
      <c r="N8" s="19"/>
      <c r="O8" s="19"/>
      <c r="P8" s="19"/>
      <c r="Q8" s="19"/>
      <c r="R8" s="19"/>
      <c r="S8" s="19"/>
    </row>
    <row r="9" spans="1:19" ht="16.75" customHeight="1" x14ac:dyDescent="0.35">
      <c r="A9" s="111" t="s">
        <v>0</v>
      </c>
      <c r="B9" s="111" t="s">
        <v>1</v>
      </c>
      <c r="C9" s="111" t="s">
        <v>2</v>
      </c>
      <c r="D9" s="111"/>
      <c r="E9" s="110" t="s">
        <v>25</v>
      </c>
      <c r="F9" s="110"/>
      <c r="G9" s="110"/>
      <c r="H9" s="110"/>
      <c r="I9" s="112" t="s">
        <v>21</v>
      </c>
      <c r="J9" s="108" t="s">
        <v>65</v>
      </c>
      <c r="K9" s="19"/>
      <c r="L9" s="19"/>
      <c r="M9" s="19"/>
      <c r="N9" s="19"/>
      <c r="O9" s="19"/>
      <c r="P9" s="19"/>
      <c r="Q9" s="19"/>
      <c r="R9" s="19"/>
      <c r="S9" s="19"/>
    </row>
    <row r="10" spans="1:19" x14ac:dyDescent="0.35">
      <c r="A10" s="111"/>
      <c r="B10" s="111"/>
      <c r="C10" s="109" t="s">
        <v>3</v>
      </c>
      <c r="D10" s="109" t="s">
        <v>4</v>
      </c>
      <c r="E10" s="110" t="s">
        <v>26</v>
      </c>
      <c r="F10" s="110"/>
      <c r="G10" s="110" t="s">
        <v>27</v>
      </c>
      <c r="H10" s="110"/>
      <c r="I10" s="112"/>
      <c r="J10" s="108"/>
      <c r="K10" s="19"/>
      <c r="L10" s="19"/>
      <c r="M10" s="19"/>
      <c r="N10" s="19"/>
      <c r="O10" s="19"/>
      <c r="P10" s="19"/>
      <c r="Q10" s="19"/>
      <c r="R10" s="19"/>
      <c r="S10" s="19"/>
    </row>
    <row r="11" spans="1:19" x14ac:dyDescent="0.35">
      <c r="A11" s="111"/>
      <c r="B11" s="111"/>
      <c r="C11" s="109"/>
      <c r="D11" s="109"/>
      <c r="E11" s="72" t="s">
        <v>28</v>
      </c>
      <c r="F11" s="72" t="s">
        <v>4</v>
      </c>
      <c r="G11" s="72" t="s">
        <v>28</v>
      </c>
      <c r="H11" s="72" t="s">
        <v>4</v>
      </c>
      <c r="I11" s="112"/>
      <c r="J11" s="108"/>
      <c r="K11" s="27"/>
      <c r="L11" s="19"/>
      <c r="M11" s="19"/>
      <c r="N11" s="19"/>
      <c r="O11" s="19"/>
      <c r="P11" s="19"/>
      <c r="Q11" s="19"/>
      <c r="R11" s="19"/>
      <c r="S11" s="19"/>
    </row>
    <row r="12" spans="1:19" s="8" customFormat="1" ht="43.5" hidden="1" x14ac:dyDescent="0.35">
      <c r="A12" s="28" t="s">
        <v>0</v>
      </c>
      <c r="B12" s="29" t="s">
        <v>1</v>
      </c>
      <c r="C12" s="29" t="s">
        <v>3</v>
      </c>
      <c r="D12" s="29" t="s">
        <v>4</v>
      </c>
      <c r="E12" s="29" t="s">
        <v>8</v>
      </c>
      <c r="F12" s="29" t="s">
        <v>9</v>
      </c>
      <c r="G12" s="29" t="s">
        <v>10</v>
      </c>
      <c r="H12" s="29" t="s">
        <v>11</v>
      </c>
      <c r="I12" s="30" t="s">
        <v>21</v>
      </c>
      <c r="J12" s="29" t="s">
        <v>12</v>
      </c>
      <c r="K12" s="29" t="s">
        <v>18</v>
      </c>
      <c r="L12" s="29" t="s">
        <v>19</v>
      </c>
      <c r="M12" s="29" t="s">
        <v>17</v>
      </c>
      <c r="N12" s="29" t="s">
        <v>32</v>
      </c>
      <c r="O12" s="29" t="s">
        <v>20</v>
      </c>
      <c r="P12" s="29" t="s">
        <v>5</v>
      </c>
      <c r="Q12" s="29" t="s">
        <v>33</v>
      </c>
      <c r="R12" s="31" t="s">
        <v>6</v>
      </c>
      <c r="S12" s="31" t="s">
        <v>34</v>
      </c>
    </row>
    <row r="13" spans="1:19" x14ac:dyDescent="0.35">
      <c r="A13" s="5"/>
      <c r="B13" s="1"/>
      <c r="C13" s="2"/>
      <c r="D13" s="2"/>
      <c r="E13" s="3"/>
      <c r="F13" s="3"/>
      <c r="G13" s="3"/>
      <c r="H13" s="3"/>
      <c r="I13" s="32">
        <f>0.1*(Horaires3567[[#This Row],[Heures de nuit]]+Horaires3567[[#This Row],[heures jour dimanche]]+Horaires3567[[#This Row],[heures jour fériés]])</f>
        <v>0</v>
      </c>
      <c r="J13" s="33">
        <f>(MOD(Horaires3567[[#This Row],[Fin]]-Horaires3567[[#This Row],[début]],1)-MOD(Horaires3567[[#This Row],[PNP Fin]]-Horaires3567[[#This Row],[PNP Début]],1))*24</f>
        <v>0</v>
      </c>
      <c r="K13" s="34">
        <f>IF(Horaires3567[[#This Row],[PNP Début]]=0,0,IF(Horaires3567[[#This Row],[PNP Début]]&lt;Horaires3567[[#This Row],[début]],1,0)+Horaires3567[[#This Row],[PNP Début]])</f>
        <v>0</v>
      </c>
      <c r="L13" s="34">
        <f>IF(Horaires3567[[#This Row],[PNP Fin]]=0,0,IF(Horaires3567[[#This Row],[PNP Fin]]&lt;Horaires3567[[#This Row],[début]],1,0)+Horaires3567[[#This Row],[PNP Fin]])</f>
        <v>0</v>
      </c>
      <c r="M13" s="34">
        <f>IF(Horaires3567[[#This Row],[Fin]]&lt;Horaires3567[[#This Row],[début]],1,0)+Horaires3567[[#This Row],[Fin]]</f>
        <v>0</v>
      </c>
      <c r="N13" s="35">
        <f>IF(Horaires3567[[#This Row],[Fin]]&lt;Horaires3567[[#This Row],[début]],MAX(0,MIN(Horaires3567[[#This Row],[Fin corrigée si nuit]],fin_nuit)-MAX(Horaires3567[[#This Row],[début]],deb_nuit))*24,(MAX(deb_nuit,Horaires3567[[#This Row],[Fin]])-MAX(deb_nuit,Horaires3567[[#This Row],[début]])+MAX(MIN(fin_nuit-1,Horaires3567[[#This Row],[Fin]])-MIN(fin_nuit-1,Horaires3567[[#This Row],[début]]),0))*24)</f>
        <v>0</v>
      </c>
      <c r="O13" s="35">
        <f>(MAX(0,MIN(Horaires3567[[#This Row],[Fin corrigée si nuit]],fin_nuit)-MAX(Horaires3567[[#This Row],[début]],deb_nuit))-IF(Horaires3567[[#This Row],[PNP Début]]=0,0,MIN(Horaires3567[[#This Row],[PNP Fin corrigée]],fin_nuit)-MAX(Horaires3567[[#This Row],[PNP Début corrigé]],deb_nuit)))*24</f>
        <v>0</v>
      </c>
      <c r="P13" s="35">
        <f>(IF(WEEKDAY(Horaires3567[[#This Row],[Date]],2)=7,MAX(0,MIN(fin_dimJF,Horaires3567[[#This Row],[Fin corrigée si nuit]])-MAX(deb_dimJF,Horaires3567[[#This Row],[début]])),0)+IF(WEEKDAY(Horaires3567[[#This Row],[Date]],2)=6,MAX(0,Horaires3567[[#This Row],[Fin corrigée si nuit]]-(1+deb_dimJF)),0))*24</f>
        <v>0</v>
      </c>
      <c r="Q13" s="35">
        <f>(IF(WEEKDAY(Horaires3567[[#This Row],[Date]],2)=7,MAX(0,MIN(fin_dimJF,Horaires3567[[#This Row],[Fin corrigée si nuit]])-MAX(deb_dimJF,Horaires3567[[#This Row],[début]])),0)+IF(WEEKDAY(Horaires3567[[#This Row],[Date]],2)=6,MAX(0,Horaires3567[[#This Row],[Fin corrigée si nuit]]-(1+deb_dimJF)),0))*24-
(IF(WEEKDAY(Horaires3567[[#This Row],[Date]],2)=7,MAX(0,MIN(fin_dimJF,Horaires3567[[#This Row],[PNP Fin corrigée]])-MAX(deb_dimJF,Horaires3567[[#This Row],[PNP Début corrigé]])),0)+IF(WEEKDAY(Horaires3567[[#This Row],[Date]],2)=6,MAX(0,Horaires3567[[#This Row],[PNP Fin corrigée]]-(1+deb_dimJF)),0))*24</f>
        <v>0</v>
      </c>
      <c r="R13" s="36">
        <f>(IF(COUNTIF(JF,Horaires3567[[#This Row],[Date]]),MAX(0,MIN(fin_dimJF,Horaires3567[[#This Row],[Fin corrigée si nuit]])-MAX(deb_dimJF,Horaires3567[[#This Row],[début]])),0)+IF(COUNTIF(JF,Horaires3567[[#This Row],[Date]]+1),MAX(0,Horaires3567[[#This Row],[Fin corrigée si nuit]]-(1+deb_dimJF)),0))*24</f>
        <v>0</v>
      </c>
      <c r="S13" s="36">
        <f>(IF(COUNTIF(JF,Horaires3567[[#This Row],[Date]]),MAX(0,MIN(fin_dimJF,Horaires3567[[#This Row],[Fin corrigée si nuit]])-MAX(deb_dimJF,Horaires3567[[#This Row],[début]])),0)+IF(COUNTIF(JF,Horaires3567[[#This Row],[Date]]+1),MAX(0,Horaires3567[[#This Row],[Fin corrigée si nuit]]-(1+deb_dimJF)),0))*24-
(IF(COUNTIF(JF,Horaires3567[[#This Row],[Date]]),MAX(0,MIN(fin_dimJF,Horaires3567[[#This Row],[PNP Fin corrigée]])-MAX(deb_dimJF,Horaires3567[[#This Row],[PNP Début corrigé]])),0)+IF(COUNTIF(JF,Horaires3567[[#This Row],[Date]]+1),MAX(0,Horaires3567[[#This Row],[PNP Fin corrigée]]-(1+deb_dimJF)),0))*24</f>
        <v>0</v>
      </c>
    </row>
    <row r="14" spans="1:19" x14ac:dyDescent="0.35">
      <c r="A14" s="5"/>
      <c r="B14" s="1"/>
      <c r="C14" s="2"/>
      <c r="D14" s="2"/>
      <c r="E14" s="3"/>
      <c r="F14" s="3"/>
      <c r="G14" s="3"/>
      <c r="H14" s="3"/>
      <c r="I14" s="32">
        <f>0.1*(Horaires3567[[#This Row],[Heures de nuit]]+Horaires3567[[#This Row],[heures jour dimanche]]+Horaires3567[[#This Row],[heures jour fériés]])</f>
        <v>0</v>
      </c>
      <c r="J14" s="33">
        <f>(MOD(Horaires3567[[#This Row],[Fin]]-Horaires3567[[#This Row],[début]],1)-MOD(Horaires3567[[#This Row],[PNP Fin]]-Horaires3567[[#This Row],[PNP Début]],1))*24</f>
        <v>0</v>
      </c>
      <c r="K14" s="34">
        <f>IF(Horaires3567[[#This Row],[PNP Début]]=0,0,IF(Horaires3567[[#This Row],[PNP Début]]&lt;Horaires3567[[#This Row],[début]],1,0)+Horaires3567[[#This Row],[PNP Début]])</f>
        <v>0</v>
      </c>
      <c r="L14" s="34">
        <f>IF(Horaires3567[[#This Row],[PNP Fin]]=0,0,IF(Horaires3567[[#This Row],[PNP Fin]]&lt;Horaires3567[[#This Row],[début]],1,0)+Horaires3567[[#This Row],[PNP Fin]])</f>
        <v>0</v>
      </c>
      <c r="M14" s="34">
        <f>IF(Horaires3567[[#This Row],[Fin]]&lt;Horaires3567[[#This Row],[début]],1,0)+Horaires3567[[#This Row],[Fin]]</f>
        <v>0</v>
      </c>
      <c r="N14" s="35">
        <f>IF(Horaires3567[[#This Row],[Fin]]&lt;Horaires3567[[#This Row],[début]],MAX(0,MIN(Horaires3567[[#This Row],[Fin corrigée si nuit]],fin_nuit)-MAX(Horaires3567[[#This Row],[début]],deb_nuit))*24,(MAX(deb_nuit,Horaires3567[[#This Row],[Fin]])-MAX(deb_nuit,Horaires3567[[#This Row],[début]])+MAX(MIN(fin_nuit-1,Horaires3567[[#This Row],[Fin]])-MIN(fin_nuit-1,Horaires3567[[#This Row],[début]]),0))*24)</f>
        <v>0</v>
      </c>
      <c r="O14" s="35">
        <f>(MAX(0,MIN(Horaires3567[[#This Row],[Fin corrigée si nuit]],fin_nuit)-MAX(Horaires3567[[#This Row],[début]],deb_nuit))-IF(Horaires3567[[#This Row],[PNP Début]]=0,0,MIN(Horaires3567[[#This Row],[PNP Fin corrigée]],fin_nuit)-MAX(Horaires3567[[#This Row],[PNP Début corrigé]],deb_nuit)))*24</f>
        <v>0</v>
      </c>
      <c r="P14" s="35">
        <f>(IF(WEEKDAY(Horaires3567[[#This Row],[Date]],2)=7,MAX(0,MIN(fin_dimJF,Horaires3567[[#This Row],[Fin corrigée si nuit]])-MAX(deb_dimJF,Horaires3567[[#This Row],[début]])),0)+IF(WEEKDAY(Horaires3567[[#This Row],[Date]],2)=6,MAX(0,Horaires3567[[#This Row],[Fin corrigée si nuit]]-(1+deb_dimJF)),0))*24</f>
        <v>0</v>
      </c>
      <c r="Q14" s="35">
        <f>(IF(WEEKDAY(Horaires3567[[#This Row],[Date]],2)=7,MAX(0,MIN(fin_dimJF,Horaires3567[[#This Row],[Fin corrigée si nuit]])-MAX(deb_dimJF,Horaires3567[[#This Row],[début]])),0)+IF(WEEKDAY(Horaires3567[[#This Row],[Date]],2)=6,MAX(0,Horaires3567[[#This Row],[Fin corrigée si nuit]]-(1+deb_dimJF)),0))*24-
(IF(WEEKDAY(Horaires3567[[#This Row],[Date]],2)=7,MAX(0,MIN(fin_dimJF,Horaires3567[[#This Row],[PNP Fin corrigée]])-MAX(deb_dimJF,Horaires3567[[#This Row],[PNP Début corrigé]])),0)+IF(WEEKDAY(Horaires3567[[#This Row],[Date]],2)=6,MAX(0,Horaires3567[[#This Row],[PNP Fin corrigée]]-(1+deb_dimJF)),0))*24</f>
        <v>0</v>
      </c>
      <c r="R14" s="36">
        <f>(IF(COUNTIF(JF,Horaires3567[[#This Row],[Date]]),MAX(0,MIN(fin_dimJF,Horaires3567[[#This Row],[Fin corrigée si nuit]])-MAX(deb_dimJF,Horaires3567[[#This Row],[début]])),0)+IF(COUNTIF(JF,Horaires3567[[#This Row],[Date]]+1),MAX(0,Horaires3567[[#This Row],[Fin corrigée si nuit]]-(1+deb_dimJF)),0))*24</f>
        <v>0</v>
      </c>
      <c r="S14" s="36">
        <f>(IF(COUNTIF(JF,Horaires3567[[#This Row],[Date]]),MAX(0,MIN(fin_dimJF,Horaires3567[[#This Row],[Fin corrigée si nuit]])-MAX(deb_dimJF,Horaires3567[[#This Row],[début]])),0)+IF(COUNTIF(JF,Horaires3567[[#This Row],[Date]]+1),MAX(0,Horaires3567[[#This Row],[Fin corrigée si nuit]]-(1+deb_dimJF)),0))*24-
(IF(COUNTIF(JF,Horaires3567[[#This Row],[Date]]),MAX(0,MIN(fin_dimJF,Horaires3567[[#This Row],[PNP Fin corrigée]])-MAX(deb_dimJF,Horaires3567[[#This Row],[PNP Début corrigé]])),0)+IF(COUNTIF(JF,Horaires3567[[#This Row],[Date]]+1),MAX(0,Horaires3567[[#This Row],[PNP Fin corrigée]]-(1+deb_dimJF)),0))*24</f>
        <v>0</v>
      </c>
    </row>
    <row r="15" spans="1:19" x14ac:dyDescent="0.35">
      <c r="A15" s="5"/>
      <c r="B15" s="1"/>
      <c r="C15" s="2"/>
      <c r="D15" s="2"/>
      <c r="E15" s="3"/>
      <c r="F15" s="3"/>
      <c r="G15" s="3"/>
      <c r="H15" s="3"/>
      <c r="I15" s="32">
        <f>0.1*(Horaires3567[[#This Row],[Heures de nuit]]+Horaires3567[[#This Row],[heures jour dimanche]]+Horaires3567[[#This Row],[heures jour fériés]])</f>
        <v>0</v>
      </c>
      <c r="J15" s="33">
        <f>(MOD(Horaires3567[[#This Row],[Fin]]-Horaires3567[[#This Row],[début]],1)-MOD(Horaires3567[[#This Row],[PNP Fin]]-Horaires3567[[#This Row],[PNP Début]],1))*24</f>
        <v>0</v>
      </c>
      <c r="K15" s="34">
        <f>IF(Horaires3567[[#This Row],[PNP Début]]=0,0,IF(Horaires3567[[#This Row],[PNP Début]]&lt;Horaires3567[[#This Row],[début]],1,0)+Horaires3567[[#This Row],[PNP Début]])</f>
        <v>0</v>
      </c>
      <c r="L15" s="34">
        <f>IF(Horaires3567[[#This Row],[PNP Fin]]=0,0,IF(Horaires3567[[#This Row],[PNP Fin]]&lt;Horaires3567[[#This Row],[début]],1,0)+Horaires3567[[#This Row],[PNP Fin]])</f>
        <v>0</v>
      </c>
      <c r="M15" s="34">
        <f>IF(Horaires3567[[#This Row],[Fin]]&lt;Horaires3567[[#This Row],[début]],1,0)+Horaires3567[[#This Row],[Fin]]</f>
        <v>0</v>
      </c>
      <c r="N15" s="35">
        <f>IF(Horaires3567[[#This Row],[Fin]]&lt;Horaires3567[[#This Row],[début]],MAX(0,MIN(Horaires3567[[#This Row],[Fin corrigée si nuit]],fin_nuit)-MAX(Horaires3567[[#This Row],[début]],deb_nuit))*24,(MAX(deb_nuit,Horaires3567[[#This Row],[Fin]])-MAX(deb_nuit,Horaires3567[[#This Row],[début]])+MAX(MIN(fin_nuit-1,Horaires3567[[#This Row],[Fin]])-MIN(fin_nuit-1,Horaires3567[[#This Row],[début]]),0))*24)</f>
        <v>0</v>
      </c>
      <c r="O15" s="35">
        <f>(MAX(0,MIN(Horaires3567[[#This Row],[Fin corrigée si nuit]],fin_nuit)-MAX(Horaires3567[[#This Row],[début]],deb_nuit))-IF(Horaires3567[[#This Row],[PNP Début]]=0,0,MIN(Horaires3567[[#This Row],[PNP Fin corrigée]],fin_nuit)-MAX(Horaires3567[[#This Row],[PNP Début corrigé]],deb_nuit)))*24</f>
        <v>0</v>
      </c>
      <c r="P15" s="35">
        <f>(IF(WEEKDAY(Horaires3567[[#This Row],[Date]],2)=7,MAX(0,MIN(fin_dimJF,Horaires3567[[#This Row],[Fin corrigée si nuit]])-MAX(deb_dimJF,Horaires3567[[#This Row],[début]])),0)+IF(WEEKDAY(Horaires3567[[#This Row],[Date]],2)=6,MAX(0,Horaires3567[[#This Row],[Fin corrigée si nuit]]-(1+deb_dimJF)),0))*24</f>
        <v>0</v>
      </c>
      <c r="Q15" s="35">
        <f>(IF(WEEKDAY(Horaires3567[[#This Row],[Date]],2)=7,MAX(0,MIN(fin_dimJF,Horaires3567[[#This Row],[Fin corrigée si nuit]])-MAX(deb_dimJF,Horaires3567[[#This Row],[début]])),0)+IF(WEEKDAY(Horaires3567[[#This Row],[Date]],2)=6,MAX(0,Horaires3567[[#This Row],[Fin corrigée si nuit]]-(1+deb_dimJF)),0))*24-
(IF(WEEKDAY(Horaires3567[[#This Row],[Date]],2)=7,MAX(0,MIN(fin_dimJF,Horaires3567[[#This Row],[PNP Fin corrigée]])-MAX(deb_dimJF,Horaires3567[[#This Row],[PNP Début corrigé]])),0)+IF(WEEKDAY(Horaires3567[[#This Row],[Date]],2)=6,MAX(0,Horaires3567[[#This Row],[PNP Fin corrigée]]-(1+deb_dimJF)),0))*24</f>
        <v>0</v>
      </c>
      <c r="R15" s="36">
        <f>(IF(COUNTIF(JF,Horaires3567[[#This Row],[Date]]),MAX(0,MIN(fin_dimJF,Horaires3567[[#This Row],[Fin corrigée si nuit]])-MAX(deb_dimJF,Horaires3567[[#This Row],[début]])),0)+IF(COUNTIF(JF,Horaires3567[[#This Row],[Date]]+1),MAX(0,Horaires3567[[#This Row],[Fin corrigée si nuit]]-(1+deb_dimJF)),0))*24</f>
        <v>0</v>
      </c>
      <c r="S15" s="36">
        <f>(IF(COUNTIF(JF,Horaires3567[[#This Row],[Date]]),MAX(0,MIN(fin_dimJF,Horaires3567[[#This Row],[Fin corrigée si nuit]])-MAX(deb_dimJF,Horaires3567[[#This Row],[début]])),0)+IF(COUNTIF(JF,Horaires3567[[#This Row],[Date]]+1),MAX(0,Horaires3567[[#This Row],[Fin corrigée si nuit]]-(1+deb_dimJF)),0))*24-
(IF(COUNTIF(JF,Horaires3567[[#This Row],[Date]]),MAX(0,MIN(fin_dimJF,Horaires3567[[#This Row],[PNP Fin corrigée]])-MAX(deb_dimJF,Horaires3567[[#This Row],[PNP Début corrigé]])),0)+IF(COUNTIF(JF,Horaires3567[[#This Row],[Date]]+1),MAX(0,Horaires3567[[#This Row],[PNP Fin corrigée]]-(1+deb_dimJF)),0))*24</f>
        <v>0</v>
      </c>
    </row>
    <row r="16" spans="1:19" x14ac:dyDescent="0.35">
      <c r="A16" s="5"/>
      <c r="B16" s="6"/>
      <c r="C16" s="2"/>
      <c r="D16" s="2"/>
      <c r="E16" s="3"/>
      <c r="F16" s="3"/>
      <c r="G16" s="7"/>
      <c r="H16" s="7"/>
      <c r="I16" s="32">
        <f>0.1*(Horaires3567[[#This Row],[Heures de nuit]]+Horaires3567[[#This Row],[heures jour dimanche]]+Horaires3567[[#This Row],[heures jour fériés]])</f>
        <v>0</v>
      </c>
      <c r="J16" s="37">
        <f>(MOD(Horaires3567[[#This Row],[Fin]]-Horaires3567[[#This Row],[début]],1)-MOD(Horaires3567[[#This Row],[PNP Fin]]-Horaires3567[[#This Row],[PNP Début]],1))*24</f>
        <v>0</v>
      </c>
      <c r="K16" s="34">
        <f>IF(Horaires3567[[#This Row],[PNP Début]]=0,0,IF(Horaires3567[[#This Row],[PNP Début]]&lt;Horaires3567[[#This Row],[début]],1,0)+Horaires3567[[#This Row],[PNP Début]])</f>
        <v>0</v>
      </c>
      <c r="L16" s="34">
        <f>IF(Horaires3567[[#This Row],[PNP Fin]]=0,0,IF(Horaires3567[[#This Row],[PNP Fin]]&lt;Horaires3567[[#This Row],[début]],1,0)+Horaires3567[[#This Row],[PNP Fin]])</f>
        <v>0</v>
      </c>
      <c r="M16" s="38">
        <f>IF(Horaires3567[[#This Row],[Fin]]&lt;Horaires3567[[#This Row],[début]],1,0)+Horaires3567[[#This Row],[Fin]]</f>
        <v>0</v>
      </c>
      <c r="N16" s="35">
        <f>IF(Horaires3567[[#This Row],[Fin]]&lt;Horaires3567[[#This Row],[début]],MAX(0,MIN(Horaires3567[[#This Row],[Fin corrigée si nuit]],fin_nuit)-MAX(Horaires3567[[#This Row],[début]],deb_nuit))*24,(MAX(deb_nuit,Horaires3567[[#This Row],[Fin]])-MAX(deb_nuit,Horaires3567[[#This Row],[début]])+MAX(MIN(fin_nuit-1,Horaires3567[[#This Row],[Fin]])-MIN(fin_nuit-1,Horaires3567[[#This Row],[début]]),0))*24)</f>
        <v>0</v>
      </c>
      <c r="O16" s="39">
        <f>(MAX(0,MIN(Horaires3567[[#This Row],[Fin corrigée si nuit]],fin_nuit)-MAX(Horaires3567[[#This Row],[début]],deb_nuit))-IF(Horaires3567[[#This Row],[PNP Début]]=0,0,MIN(Horaires3567[[#This Row],[PNP Fin corrigée]],fin_nuit)-MAX(Horaires3567[[#This Row],[PNP Début corrigé]],deb_nuit)))*24</f>
        <v>0</v>
      </c>
      <c r="P16" s="39">
        <f>(IF(WEEKDAY(Horaires3567[[#This Row],[Date]],2)=7,MAX(0,MIN(fin_dimJF,Horaires3567[[#This Row],[Fin corrigée si nuit]])-MAX(deb_dimJF,Horaires3567[[#This Row],[début]])),0)+IF(WEEKDAY(Horaires3567[[#This Row],[Date]],2)=6,MAX(0,Horaires3567[[#This Row],[Fin corrigée si nuit]]-(1+deb_dimJF)),0))*24</f>
        <v>0</v>
      </c>
      <c r="Q16" s="35">
        <f>(IF(WEEKDAY(Horaires3567[[#This Row],[Date]],2)=7,MAX(0,MIN(fin_dimJF,Horaires3567[[#This Row],[Fin corrigée si nuit]])-MAX(deb_dimJF,Horaires3567[[#This Row],[début]])),0)+IF(WEEKDAY(Horaires3567[[#This Row],[Date]],2)=6,MAX(0,Horaires3567[[#This Row],[Fin corrigée si nuit]]-(1+deb_dimJF)),0))*24-
(IF(WEEKDAY(Horaires3567[[#This Row],[Date]],2)=7,MAX(0,MIN(fin_dimJF,Horaires3567[[#This Row],[PNP Fin corrigée]])-MAX(deb_dimJF,Horaires3567[[#This Row],[PNP Début corrigé]])),0)+IF(WEEKDAY(Horaires3567[[#This Row],[Date]],2)=6,MAX(0,Horaires3567[[#This Row],[PNP Fin corrigée]]-(1+deb_dimJF)),0))*24</f>
        <v>0</v>
      </c>
      <c r="R16" s="40">
        <f>(IF(COUNTIF(JF,Horaires3567[[#This Row],[Date]]),MAX(0,MIN(fin_dimJF,Horaires3567[[#This Row],[Fin corrigée si nuit]])-MAX(deb_dimJF,Horaires3567[[#This Row],[début]])),0)+IF(COUNTIF(JF,Horaires3567[[#This Row],[Date]]+1),MAX(0,Horaires3567[[#This Row],[Fin corrigée si nuit]]-(1+deb_dimJF)),0))*24</f>
        <v>0</v>
      </c>
      <c r="S16" s="40">
        <f>(IF(COUNTIF(JF,Horaires3567[[#This Row],[Date]]),MAX(0,MIN(fin_dimJF,Horaires3567[[#This Row],[Fin corrigée si nuit]])-MAX(deb_dimJF,Horaires3567[[#This Row],[début]])),0)+IF(COUNTIF(JF,Horaires3567[[#This Row],[Date]]+1),MAX(0,Horaires3567[[#This Row],[Fin corrigée si nuit]]-(1+deb_dimJF)),0))*24-
(IF(COUNTIF(JF,Horaires3567[[#This Row],[Date]]),MAX(0,MIN(fin_dimJF,Horaires3567[[#This Row],[PNP Fin corrigée]])-MAX(deb_dimJF,Horaires3567[[#This Row],[PNP Début corrigé]])),0)+IF(COUNTIF(JF,Horaires3567[[#This Row],[Date]]+1),MAX(0,Horaires3567[[#This Row],[PNP Fin corrigée]]-(1+deb_dimJF)),0))*24</f>
        <v>0</v>
      </c>
    </row>
    <row r="17" spans="1:19" x14ac:dyDescent="0.35">
      <c r="A17" s="5"/>
      <c r="B17" s="1"/>
      <c r="C17" s="2"/>
      <c r="D17" s="2"/>
      <c r="E17" s="3"/>
      <c r="F17" s="3"/>
      <c r="G17" s="12"/>
      <c r="H17" s="12"/>
      <c r="I17" s="41">
        <f>0.1*(Horaires3567[[#This Row],[Heures de nuit]]+Horaires3567[[#This Row],[heures jour dimanche]]+Horaires3567[[#This Row],[heures jour fériés]])</f>
        <v>0</v>
      </c>
      <c r="J17" s="42">
        <f>(MOD(Horaires3567[[#This Row],[Fin]]-Horaires3567[[#This Row],[début]],1)-MOD(Horaires3567[[#This Row],[PNP Fin]]-Horaires3567[[#This Row],[PNP Début]],1))*24</f>
        <v>0</v>
      </c>
      <c r="K17" s="43">
        <f>IF(Horaires3567[[#This Row],[PNP Début]]=0,0,IF(Horaires3567[[#This Row],[PNP Début]]&lt;Horaires3567[[#This Row],[début]],1,0)+Horaires3567[[#This Row],[PNP Début]])</f>
        <v>0</v>
      </c>
      <c r="L17" s="44">
        <f>IF(Horaires3567[[#This Row],[PNP Fin]]=0,0,IF(Horaires3567[[#This Row],[PNP Fin]]&lt;Horaires3567[[#This Row],[début]],1,0)+Horaires3567[[#This Row],[PNP Fin]])</f>
        <v>0</v>
      </c>
      <c r="M17" s="44">
        <f>IF(Horaires3567[[#This Row],[Fin]]&lt;Horaires3567[[#This Row],[début]],1,0)+Horaires3567[[#This Row],[Fin]]</f>
        <v>0</v>
      </c>
      <c r="N17" s="35">
        <f>IF(Horaires3567[[#This Row],[Fin]]&lt;Horaires3567[[#This Row],[début]],MAX(0,MIN(Horaires3567[[#This Row],[Fin corrigée si nuit]],fin_nuit)-MAX(Horaires3567[[#This Row],[début]],deb_nuit))*24,(MAX(deb_nuit,Horaires3567[[#This Row],[Fin]])-MAX(deb_nuit,Horaires3567[[#This Row],[début]])+MAX(MIN(fin_nuit-1,Horaires3567[[#This Row],[Fin]])-MIN(fin_nuit-1,Horaires3567[[#This Row],[début]]),0))*24)</f>
        <v>0</v>
      </c>
      <c r="O17" s="45">
        <f>(MAX(0,MIN(Horaires3567[[#This Row],[Fin corrigée si nuit]],fin_nuit)-MAX(Horaires3567[[#This Row],[début]],deb_nuit))-IF(Horaires3567[[#This Row],[PNP Début]]=0,0,MIN(Horaires3567[[#This Row],[PNP Fin corrigée]],fin_nuit)-MAX(Horaires3567[[#This Row],[PNP Début corrigé]],deb_nuit)))*24</f>
        <v>0</v>
      </c>
      <c r="P17" s="45">
        <f>(IF(WEEKDAY(Horaires3567[[#This Row],[Date]],2)=7,MAX(0,MIN(fin_dimJF,Horaires3567[[#This Row],[Fin corrigée si nuit]])-MAX(deb_dimJF,Horaires3567[[#This Row],[début]])),0)+IF(WEEKDAY(Horaires3567[[#This Row],[Date]],2)=6,MAX(0,Horaires3567[[#This Row],[Fin corrigée si nuit]]-(1+deb_dimJF)),0))*24</f>
        <v>0</v>
      </c>
      <c r="Q17" s="45">
        <f>(IF(WEEKDAY(Horaires3567[[#This Row],[Date]],2)=7,MAX(0,MIN(fin_dimJF,Horaires3567[[#This Row],[Fin corrigée si nuit]])-MAX(deb_dimJF,Horaires3567[[#This Row],[début]])),0)+IF(WEEKDAY(Horaires3567[[#This Row],[Date]],2)=6,MAX(0,Horaires3567[[#This Row],[Fin corrigée si nuit]]-(1+deb_dimJF)),0))*24-
(IF(WEEKDAY(Horaires3567[[#This Row],[Date]],2)=7,MAX(0,MIN(fin_dimJF,Horaires3567[[#This Row],[PNP Fin corrigée]])-MAX(deb_dimJF,Horaires3567[[#This Row],[PNP Début corrigé]])),0)+IF(WEEKDAY(Horaires3567[[#This Row],[Date]],2)=6,MAX(0,Horaires3567[[#This Row],[PNP Fin corrigée]]-(1+deb_dimJF)),0))*24</f>
        <v>0</v>
      </c>
      <c r="R17" s="45">
        <f>(IF(COUNTIF(JF,Horaires3567[[#This Row],[Date]]),MAX(0,MIN(fin_dimJF,Horaires3567[[#This Row],[Fin corrigée si nuit]])-MAX(deb_dimJF,Horaires3567[[#This Row],[début]])),0)+IF(COUNTIF(JF,Horaires3567[[#This Row],[Date]]+1),MAX(0,Horaires3567[[#This Row],[Fin corrigée si nuit]]-(1+deb_dimJF)),0))*24</f>
        <v>0</v>
      </c>
      <c r="S17" s="45">
        <f>(IF(COUNTIF(JF,Horaires3567[[#This Row],[Date]]),MAX(0,MIN(fin_dimJF,Horaires3567[[#This Row],[Fin corrigée si nuit]])-MAX(deb_dimJF,Horaires3567[[#This Row],[début]])),0)+IF(COUNTIF(JF,Horaires3567[[#This Row],[Date]]+1),MAX(0,Horaires3567[[#This Row],[Fin corrigée si nuit]]-(1+deb_dimJF)),0))*24-
(IF(COUNTIF(JF,Horaires3567[[#This Row],[Date]]),MAX(0,MIN(fin_dimJF,Horaires3567[[#This Row],[PNP Fin corrigée]])-MAX(deb_dimJF,Horaires3567[[#This Row],[PNP Début corrigé]])),0)+IF(COUNTIF(JF,Horaires3567[[#This Row],[Date]]+1),MAX(0,Horaires3567[[#This Row],[PNP Fin corrigée]]-(1+deb_dimJF)),0))*24</f>
        <v>0</v>
      </c>
    </row>
    <row r="18" spans="1:19" x14ac:dyDescent="0.35">
      <c r="A18" s="5"/>
      <c r="B18" s="60"/>
      <c r="C18" s="11"/>
      <c r="D18" s="11"/>
      <c r="E18" s="12"/>
      <c r="F18" s="12"/>
      <c r="G18" s="12"/>
      <c r="H18" s="12"/>
      <c r="I18" s="41">
        <f>0.1*(Horaires3567[[#This Row],[Heures de nuit]]+Horaires3567[[#This Row],[heures jour dimanche]]+Horaires3567[[#This Row],[heures jour fériés]])</f>
        <v>0</v>
      </c>
      <c r="J18" s="42">
        <f>(MOD(Horaires3567[[#This Row],[Fin]]-Horaires3567[[#This Row],[début]],1)-MOD(Horaires3567[[#This Row],[PNP Fin]]-Horaires3567[[#This Row],[PNP Début]],1))*24</f>
        <v>0</v>
      </c>
      <c r="K18" s="43">
        <f>IF(Horaires3567[[#This Row],[PNP Début]]=0,0,IF(Horaires3567[[#This Row],[PNP Début]]&lt;Horaires3567[[#This Row],[début]],1,0)+Horaires3567[[#This Row],[PNP Début]])</f>
        <v>0</v>
      </c>
      <c r="L18" s="44">
        <f>IF(Horaires3567[[#This Row],[PNP Fin]]=0,0,IF(Horaires3567[[#This Row],[PNP Fin]]&lt;Horaires3567[[#This Row],[début]],1,0)+Horaires3567[[#This Row],[PNP Fin]])</f>
        <v>0</v>
      </c>
      <c r="M18" s="44">
        <f>IF(Horaires3567[[#This Row],[Fin]]&lt;Horaires3567[[#This Row],[début]],1,0)+Horaires3567[[#This Row],[Fin]]</f>
        <v>0</v>
      </c>
      <c r="N18" s="35">
        <f>IF(Horaires3567[[#This Row],[Fin]]&lt;Horaires3567[[#This Row],[début]],MAX(0,MIN(Horaires3567[[#This Row],[Fin corrigée si nuit]],fin_nuit)-MAX(Horaires3567[[#This Row],[début]],deb_nuit))*24,(MAX(deb_nuit,Horaires3567[[#This Row],[Fin]])-MAX(deb_nuit,Horaires3567[[#This Row],[début]])+MAX(MIN(fin_nuit-1,Horaires3567[[#This Row],[Fin]])-MIN(fin_nuit-1,Horaires3567[[#This Row],[début]]),0))*24)</f>
        <v>0</v>
      </c>
      <c r="O18" s="45">
        <f>(MAX(0,MIN(Horaires3567[[#This Row],[Fin corrigée si nuit]],fin_nuit)-MAX(Horaires3567[[#This Row],[début]],deb_nuit))-IF(Horaires3567[[#This Row],[PNP Début]]=0,0,MIN(Horaires3567[[#This Row],[PNP Fin corrigée]],fin_nuit)-MAX(Horaires3567[[#This Row],[PNP Début corrigé]],deb_nuit)))*24</f>
        <v>0</v>
      </c>
      <c r="P18" s="45">
        <f>(IF(WEEKDAY(Horaires3567[[#This Row],[Date]],2)=7,MAX(0,MIN(fin_dimJF,Horaires3567[[#This Row],[Fin corrigée si nuit]])-MAX(deb_dimJF,Horaires3567[[#This Row],[début]])),0)+IF(WEEKDAY(Horaires3567[[#This Row],[Date]],2)=6,MAX(0,Horaires3567[[#This Row],[Fin corrigée si nuit]]-(1+deb_dimJF)),0))*24</f>
        <v>0</v>
      </c>
      <c r="Q18" s="45">
        <f>(IF(WEEKDAY(Horaires3567[[#This Row],[Date]],2)=7,MAX(0,MIN(fin_dimJF,Horaires3567[[#This Row],[Fin corrigée si nuit]])-MAX(deb_dimJF,Horaires3567[[#This Row],[début]])),0)+IF(WEEKDAY(Horaires3567[[#This Row],[Date]],2)=6,MAX(0,Horaires3567[[#This Row],[Fin corrigée si nuit]]-(1+deb_dimJF)),0))*24-
(IF(WEEKDAY(Horaires3567[[#This Row],[Date]],2)=7,MAX(0,MIN(fin_dimJF,Horaires3567[[#This Row],[PNP Fin corrigée]])-MAX(deb_dimJF,Horaires3567[[#This Row],[PNP Début corrigé]])),0)+IF(WEEKDAY(Horaires3567[[#This Row],[Date]],2)=6,MAX(0,Horaires3567[[#This Row],[PNP Fin corrigée]]-(1+deb_dimJF)),0))*24</f>
        <v>0</v>
      </c>
      <c r="R18" s="45">
        <f>(IF(COUNTIF(JF,Horaires3567[[#This Row],[Date]]),MAX(0,MIN(fin_dimJF,Horaires3567[[#This Row],[Fin corrigée si nuit]])-MAX(deb_dimJF,Horaires3567[[#This Row],[début]])),0)+IF(COUNTIF(JF,Horaires3567[[#This Row],[Date]]+1),MAX(0,Horaires3567[[#This Row],[Fin corrigée si nuit]]-(1+deb_dimJF)),0))*24</f>
        <v>0</v>
      </c>
      <c r="S18" s="45">
        <f>(IF(COUNTIF(JF,Horaires3567[[#This Row],[Date]]),MAX(0,MIN(fin_dimJF,Horaires3567[[#This Row],[Fin corrigée si nuit]])-MAX(deb_dimJF,Horaires3567[[#This Row],[début]])),0)+IF(COUNTIF(JF,Horaires3567[[#This Row],[Date]]+1),MAX(0,Horaires3567[[#This Row],[Fin corrigée si nuit]]-(1+deb_dimJF)),0))*24-
(IF(COUNTIF(JF,Horaires3567[[#This Row],[Date]]),MAX(0,MIN(fin_dimJF,Horaires3567[[#This Row],[PNP Fin corrigée]])-MAX(deb_dimJF,Horaires3567[[#This Row],[PNP Début corrigé]])),0)+IF(COUNTIF(JF,Horaires3567[[#This Row],[Date]]+1),MAX(0,Horaires3567[[#This Row],[PNP Fin corrigée]]-(1+deb_dimJF)),0))*24</f>
        <v>0</v>
      </c>
    </row>
    <row r="19" spans="1:19" x14ac:dyDescent="0.35">
      <c r="A19" s="5"/>
      <c r="B19" s="1"/>
      <c r="C19" s="11"/>
      <c r="D19" s="11"/>
      <c r="E19" s="3"/>
      <c r="F19" s="3"/>
      <c r="G19" s="12"/>
      <c r="H19" s="12"/>
      <c r="I19" s="41">
        <f>0.1*(Horaires3567[[#This Row],[Heures de nuit]]+Horaires3567[[#This Row],[heures jour dimanche]]+Horaires3567[[#This Row],[heures jour fériés]])</f>
        <v>0</v>
      </c>
      <c r="J19" s="42">
        <f>(MOD(Horaires3567[[#This Row],[Fin]]-Horaires3567[[#This Row],[début]],1)-MOD(Horaires3567[[#This Row],[PNP Fin]]-Horaires3567[[#This Row],[PNP Début]],1))*24</f>
        <v>0</v>
      </c>
      <c r="K19" s="43">
        <f>IF(Horaires3567[[#This Row],[PNP Début]]=0,0,IF(Horaires3567[[#This Row],[PNP Début]]&lt;Horaires3567[[#This Row],[début]],1,0)+Horaires3567[[#This Row],[PNP Début]])</f>
        <v>0</v>
      </c>
      <c r="L19" s="44">
        <f>IF(Horaires3567[[#This Row],[PNP Fin]]=0,0,IF(Horaires3567[[#This Row],[PNP Fin]]&lt;Horaires3567[[#This Row],[début]],1,0)+Horaires3567[[#This Row],[PNP Fin]])</f>
        <v>0</v>
      </c>
      <c r="M19" s="44">
        <f>IF(Horaires3567[[#This Row],[Fin]]&lt;Horaires3567[[#This Row],[début]],1,0)+Horaires3567[[#This Row],[Fin]]</f>
        <v>0</v>
      </c>
      <c r="N19" s="35">
        <f>IF(Horaires3567[[#This Row],[Fin]]&lt;Horaires3567[[#This Row],[début]],MAX(0,MIN(Horaires3567[[#This Row],[Fin corrigée si nuit]],fin_nuit)-MAX(Horaires3567[[#This Row],[début]],deb_nuit))*24,(MAX(deb_nuit,Horaires3567[[#This Row],[Fin]])-MAX(deb_nuit,Horaires3567[[#This Row],[début]])+MAX(MIN(fin_nuit-1,Horaires3567[[#This Row],[Fin]])-MIN(fin_nuit-1,Horaires3567[[#This Row],[début]]),0))*24)</f>
        <v>0</v>
      </c>
      <c r="O19" s="45">
        <f>(MAX(0,MIN(Horaires3567[[#This Row],[Fin corrigée si nuit]],fin_nuit)-MAX(Horaires3567[[#This Row],[début]],deb_nuit))-IF(Horaires3567[[#This Row],[PNP Début]]=0,0,MIN(Horaires3567[[#This Row],[PNP Fin corrigée]],fin_nuit)-MAX(Horaires3567[[#This Row],[PNP Début corrigé]],deb_nuit)))*24</f>
        <v>0</v>
      </c>
      <c r="P19" s="45">
        <f>(IF(WEEKDAY(Horaires3567[[#This Row],[Date]],2)=7,MAX(0,MIN(fin_dimJF,Horaires3567[[#This Row],[Fin corrigée si nuit]])-MAX(deb_dimJF,Horaires3567[[#This Row],[début]])),0)+IF(WEEKDAY(Horaires3567[[#This Row],[Date]],2)=6,MAX(0,Horaires3567[[#This Row],[Fin corrigée si nuit]]-(1+deb_dimJF)),0))*24</f>
        <v>0</v>
      </c>
      <c r="Q19" s="45">
        <f>(IF(WEEKDAY(Horaires3567[[#This Row],[Date]],2)=7,MAX(0,MIN(fin_dimJF,Horaires3567[[#This Row],[Fin corrigée si nuit]])-MAX(deb_dimJF,Horaires3567[[#This Row],[début]])),0)+IF(WEEKDAY(Horaires3567[[#This Row],[Date]],2)=6,MAX(0,Horaires3567[[#This Row],[Fin corrigée si nuit]]-(1+deb_dimJF)),0))*24-
(IF(WEEKDAY(Horaires3567[[#This Row],[Date]],2)=7,MAX(0,MIN(fin_dimJF,Horaires3567[[#This Row],[PNP Fin corrigée]])-MAX(deb_dimJF,Horaires3567[[#This Row],[PNP Début corrigé]])),0)+IF(WEEKDAY(Horaires3567[[#This Row],[Date]],2)=6,MAX(0,Horaires3567[[#This Row],[PNP Fin corrigée]]-(1+deb_dimJF)),0))*24</f>
        <v>0</v>
      </c>
      <c r="R19" s="45">
        <f>(IF(COUNTIF(JF,Horaires3567[[#This Row],[Date]]),MAX(0,MIN(fin_dimJF,Horaires3567[[#This Row],[Fin corrigée si nuit]])-MAX(deb_dimJF,Horaires3567[[#This Row],[début]])),0)+IF(COUNTIF(JF,Horaires3567[[#This Row],[Date]]+1),MAX(0,Horaires3567[[#This Row],[Fin corrigée si nuit]]-(1+deb_dimJF)),0))*24</f>
        <v>0</v>
      </c>
      <c r="S19" s="45">
        <f>(IF(COUNTIF(JF,Horaires3567[[#This Row],[Date]]),MAX(0,MIN(fin_dimJF,Horaires3567[[#This Row],[Fin corrigée si nuit]])-MAX(deb_dimJF,Horaires3567[[#This Row],[début]])),0)+IF(COUNTIF(JF,Horaires3567[[#This Row],[Date]]+1),MAX(0,Horaires3567[[#This Row],[Fin corrigée si nuit]]-(1+deb_dimJF)),0))*24-
(IF(COUNTIF(JF,Horaires3567[[#This Row],[Date]]),MAX(0,MIN(fin_dimJF,Horaires3567[[#This Row],[PNP Fin corrigée]])-MAX(deb_dimJF,Horaires3567[[#This Row],[PNP Début corrigé]])),0)+IF(COUNTIF(JF,Horaires3567[[#This Row],[Date]]+1),MAX(0,Horaires3567[[#This Row],[PNP Fin corrigée]]-(1+deb_dimJF)),0))*24</f>
        <v>0</v>
      </c>
    </row>
    <row r="20" spans="1:19" x14ac:dyDescent="0.35">
      <c r="A20" s="5"/>
      <c r="B20" s="1"/>
      <c r="C20" s="11"/>
      <c r="D20" s="11"/>
      <c r="E20" s="12"/>
      <c r="F20" s="12"/>
      <c r="G20" s="12"/>
      <c r="H20" s="12"/>
      <c r="I20" s="41">
        <f>0.1*(Horaires3567[[#This Row],[Heures de nuit]]+Horaires3567[[#This Row],[heures jour dimanche]]+Horaires3567[[#This Row],[heures jour fériés]])</f>
        <v>0</v>
      </c>
      <c r="J20" s="42">
        <f>(MOD(Horaires3567[[#This Row],[Fin]]-Horaires3567[[#This Row],[début]],1)-MOD(Horaires3567[[#This Row],[PNP Fin]]-Horaires3567[[#This Row],[PNP Début]],1))*24</f>
        <v>0</v>
      </c>
      <c r="K20" s="43">
        <f>IF(Horaires3567[[#This Row],[PNP Début]]=0,0,IF(Horaires3567[[#This Row],[PNP Début]]&lt;Horaires3567[[#This Row],[début]],1,0)+Horaires3567[[#This Row],[PNP Début]])</f>
        <v>0</v>
      </c>
      <c r="L20" s="44">
        <f>IF(Horaires3567[[#This Row],[PNP Fin]]=0,0,IF(Horaires3567[[#This Row],[PNP Fin]]&lt;Horaires3567[[#This Row],[début]],1,0)+Horaires3567[[#This Row],[PNP Fin]])</f>
        <v>0</v>
      </c>
      <c r="M20" s="44">
        <f>IF(Horaires3567[[#This Row],[Fin]]&lt;Horaires3567[[#This Row],[début]],1,0)+Horaires3567[[#This Row],[Fin]]</f>
        <v>0</v>
      </c>
      <c r="N20" s="35">
        <f>IF(Horaires3567[[#This Row],[Fin]]&lt;Horaires3567[[#This Row],[début]],MAX(0,MIN(Horaires3567[[#This Row],[Fin corrigée si nuit]],fin_nuit)-MAX(Horaires3567[[#This Row],[début]],deb_nuit))*24,(MAX(deb_nuit,Horaires3567[[#This Row],[Fin]])-MAX(deb_nuit,Horaires3567[[#This Row],[début]])+MAX(MIN(fin_nuit-1,Horaires3567[[#This Row],[Fin]])-MIN(fin_nuit-1,Horaires3567[[#This Row],[début]]),0))*24)</f>
        <v>0</v>
      </c>
      <c r="O20" s="45">
        <f>(MAX(0,MIN(Horaires3567[[#This Row],[Fin corrigée si nuit]],fin_nuit)-MAX(Horaires3567[[#This Row],[début]],deb_nuit))-IF(Horaires3567[[#This Row],[PNP Début]]=0,0,MIN(Horaires3567[[#This Row],[PNP Fin corrigée]],fin_nuit)-MAX(Horaires3567[[#This Row],[PNP Début corrigé]],deb_nuit)))*24</f>
        <v>0</v>
      </c>
      <c r="P20" s="45">
        <f>(IF(WEEKDAY(Horaires3567[[#This Row],[Date]],2)=7,MAX(0,MIN(fin_dimJF,Horaires3567[[#This Row],[Fin corrigée si nuit]])-MAX(deb_dimJF,Horaires3567[[#This Row],[début]])),0)+IF(WEEKDAY(Horaires3567[[#This Row],[Date]],2)=6,MAX(0,Horaires3567[[#This Row],[Fin corrigée si nuit]]-(1+deb_dimJF)),0))*24</f>
        <v>0</v>
      </c>
      <c r="Q20" s="45">
        <f>(IF(WEEKDAY(Horaires3567[[#This Row],[Date]],2)=7,MAX(0,MIN(fin_dimJF,Horaires3567[[#This Row],[Fin corrigée si nuit]])-MAX(deb_dimJF,Horaires3567[[#This Row],[début]])),0)+IF(WEEKDAY(Horaires3567[[#This Row],[Date]],2)=6,MAX(0,Horaires3567[[#This Row],[Fin corrigée si nuit]]-(1+deb_dimJF)),0))*24-
(IF(WEEKDAY(Horaires3567[[#This Row],[Date]],2)=7,MAX(0,MIN(fin_dimJF,Horaires3567[[#This Row],[PNP Fin corrigée]])-MAX(deb_dimJF,Horaires3567[[#This Row],[PNP Début corrigé]])),0)+IF(WEEKDAY(Horaires3567[[#This Row],[Date]],2)=6,MAX(0,Horaires3567[[#This Row],[PNP Fin corrigée]]-(1+deb_dimJF)),0))*24</f>
        <v>0</v>
      </c>
      <c r="R20" s="45">
        <f>(IF(COUNTIF(JF,Horaires3567[[#This Row],[Date]]),MAX(0,MIN(fin_dimJF,Horaires3567[[#This Row],[Fin corrigée si nuit]])-MAX(deb_dimJF,Horaires3567[[#This Row],[début]])),0)+IF(COUNTIF(JF,Horaires3567[[#This Row],[Date]]+1),MAX(0,Horaires3567[[#This Row],[Fin corrigée si nuit]]-(1+deb_dimJF)),0))*24</f>
        <v>0</v>
      </c>
      <c r="S20" s="45">
        <f>(IF(COUNTIF(JF,Horaires3567[[#This Row],[Date]]),MAX(0,MIN(fin_dimJF,Horaires3567[[#This Row],[Fin corrigée si nuit]])-MAX(deb_dimJF,Horaires3567[[#This Row],[début]])),0)+IF(COUNTIF(JF,Horaires3567[[#This Row],[Date]]+1),MAX(0,Horaires3567[[#This Row],[Fin corrigée si nuit]]-(1+deb_dimJF)),0))*24-
(IF(COUNTIF(JF,Horaires3567[[#This Row],[Date]]),MAX(0,MIN(fin_dimJF,Horaires3567[[#This Row],[PNP Fin corrigée]])-MAX(deb_dimJF,Horaires3567[[#This Row],[PNP Début corrigé]])),0)+IF(COUNTIF(JF,Horaires3567[[#This Row],[Date]]+1),MAX(0,Horaires3567[[#This Row],[PNP Fin corrigée]]-(1+deb_dimJF)),0))*24</f>
        <v>0</v>
      </c>
    </row>
    <row r="21" spans="1:19" x14ac:dyDescent="0.35">
      <c r="A21" s="5"/>
      <c r="B21" s="6"/>
      <c r="C21" s="13"/>
      <c r="D21" s="13"/>
      <c r="E21" s="3"/>
      <c r="F21" s="3"/>
      <c r="G21" s="14"/>
      <c r="H21" s="14"/>
      <c r="I21" s="46">
        <f>0.1*(Horaires3567[[#This Row],[Heures de nuit]]+Horaires3567[[#This Row],[heures jour dimanche]]+Horaires3567[[#This Row],[heures jour fériés]])</f>
        <v>0</v>
      </c>
      <c r="J21" s="47">
        <f>(MOD(Horaires3567[[#This Row],[Fin]]-Horaires3567[[#This Row],[début]],1)-MOD(Horaires3567[[#This Row],[PNP Fin]]-Horaires3567[[#This Row],[PNP Début]],1))*24</f>
        <v>0</v>
      </c>
      <c r="K21" s="48">
        <f>IF(Horaires3567[[#This Row],[PNP Début]]=0,0,IF(Horaires3567[[#This Row],[PNP Début]]&lt;Horaires3567[[#This Row],[début]],1,0)+Horaires3567[[#This Row],[PNP Début]])</f>
        <v>0</v>
      </c>
      <c r="L21" s="49">
        <f>IF(Horaires3567[[#This Row],[PNP Fin]]=0,0,IF(Horaires3567[[#This Row],[PNP Fin]]&lt;Horaires3567[[#This Row],[début]],1,0)+Horaires3567[[#This Row],[PNP Fin]])</f>
        <v>0</v>
      </c>
      <c r="M21" s="49">
        <f>IF(Horaires3567[[#This Row],[Fin]]&lt;Horaires3567[[#This Row],[début]],1,0)+Horaires3567[[#This Row],[Fin]]</f>
        <v>0</v>
      </c>
      <c r="N21" s="35">
        <f>IF(Horaires3567[[#This Row],[Fin]]&lt;Horaires3567[[#This Row],[début]],MAX(0,MIN(Horaires3567[[#This Row],[Fin corrigée si nuit]],fin_nuit)-MAX(Horaires3567[[#This Row],[début]],deb_nuit))*24,(MAX(deb_nuit,Horaires3567[[#This Row],[Fin]])-MAX(deb_nuit,Horaires3567[[#This Row],[début]])+MAX(MIN(fin_nuit-1,Horaires3567[[#This Row],[Fin]])-MIN(fin_nuit-1,Horaires3567[[#This Row],[début]]),0))*24)</f>
        <v>0</v>
      </c>
      <c r="O21" s="50">
        <f>(MAX(0,MIN(Horaires3567[[#This Row],[Fin corrigée si nuit]],fin_nuit)-MAX(Horaires3567[[#This Row],[début]],deb_nuit))-IF(Horaires3567[[#This Row],[PNP Début]]=0,0,MIN(Horaires3567[[#This Row],[PNP Fin corrigée]],fin_nuit)-MAX(Horaires3567[[#This Row],[PNP Début corrigé]],deb_nuit)))*24</f>
        <v>0</v>
      </c>
      <c r="P21" s="50">
        <f>(IF(WEEKDAY(Horaires3567[[#This Row],[Date]],2)=7,MAX(0,MIN(fin_dimJF,Horaires3567[[#This Row],[Fin corrigée si nuit]])-MAX(deb_dimJF,Horaires3567[[#This Row],[début]])),0)+IF(WEEKDAY(Horaires3567[[#This Row],[Date]],2)=6,MAX(0,Horaires3567[[#This Row],[Fin corrigée si nuit]]-(1+deb_dimJF)),0))*24</f>
        <v>0</v>
      </c>
      <c r="Q21" s="50">
        <f>(IF(WEEKDAY(Horaires3567[[#This Row],[Date]],2)=7,MAX(0,MIN(fin_dimJF,Horaires3567[[#This Row],[Fin corrigée si nuit]])-MAX(deb_dimJF,Horaires3567[[#This Row],[début]])),0)+IF(WEEKDAY(Horaires3567[[#This Row],[Date]],2)=6,MAX(0,Horaires3567[[#This Row],[Fin corrigée si nuit]]-(1+deb_dimJF)),0))*24-
(IF(WEEKDAY(Horaires3567[[#This Row],[Date]],2)=7,MAX(0,MIN(fin_dimJF,Horaires3567[[#This Row],[PNP Fin corrigée]])-MAX(deb_dimJF,Horaires3567[[#This Row],[PNP Début corrigé]])),0)+IF(WEEKDAY(Horaires3567[[#This Row],[Date]],2)=6,MAX(0,Horaires3567[[#This Row],[PNP Fin corrigée]]-(1+deb_dimJF)),0))*24</f>
        <v>0</v>
      </c>
      <c r="R21" s="50">
        <f>(IF(COUNTIF(JF,Horaires3567[[#This Row],[Date]]),MAX(0,MIN(fin_dimJF,Horaires3567[[#This Row],[Fin corrigée si nuit]])-MAX(deb_dimJF,Horaires3567[[#This Row],[début]])),0)+IF(COUNTIF(JF,Horaires3567[[#This Row],[Date]]+1),MAX(0,Horaires3567[[#This Row],[Fin corrigée si nuit]]-(1+deb_dimJF)),0))*24</f>
        <v>0</v>
      </c>
      <c r="S21" s="50">
        <f>(IF(COUNTIF(JF,Horaires3567[[#This Row],[Date]]),MAX(0,MIN(fin_dimJF,Horaires3567[[#This Row],[Fin corrigée si nuit]])-MAX(deb_dimJF,Horaires3567[[#This Row],[début]])),0)+IF(COUNTIF(JF,Horaires3567[[#This Row],[Date]]+1),MAX(0,Horaires3567[[#This Row],[Fin corrigée si nuit]]-(1+deb_dimJF)),0))*24-
(IF(COUNTIF(JF,Horaires3567[[#This Row],[Date]]),MAX(0,MIN(fin_dimJF,Horaires3567[[#This Row],[PNP Fin corrigée]])-MAX(deb_dimJF,Horaires3567[[#This Row],[PNP Début corrigé]])),0)+IF(COUNTIF(JF,Horaires3567[[#This Row],[Date]]+1),MAX(0,Horaires3567[[#This Row],[PNP Fin corrigée]]-(1+deb_dimJF)),0))*24</f>
        <v>0</v>
      </c>
    </row>
    <row r="22" spans="1:19" ht="14.4" customHeight="1" x14ac:dyDescent="0.35">
      <c r="A22" s="5"/>
      <c r="B22" s="1"/>
      <c r="C22" s="13"/>
      <c r="D22" s="13"/>
      <c r="E22" s="3"/>
      <c r="F22" s="3"/>
      <c r="G22" s="3"/>
      <c r="H22" s="3"/>
      <c r="I22" s="51">
        <f>0.1*(Horaires3567[[#This Row],[Heures de nuit]]+Horaires3567[[#This Row],[heures jour dimanche]]+Horaires3567[[#This Row],[heures jour fériés]])</f>
        <v>0</v>
      </c>
      <c r="J22" s="52">
        <f>(MOD(Horaires3567[[#This Row],[Fin]]-Horaires3567[[#This Row],[début]],1)-MOD(Horaires3567[[#This Row],[PNP Fin]]-Horaires3567[[#This Row],[PNP Début]],1))*24</f>
        <v>0</v>
      </c>
      <c r="K22" s="53">
        <f>IF(Horaires3567[[#This Row],[PNP Début]]=0,0,IF(Horaires3567[[#This Row],[PNP Début]]&lt;Horaires3567[[#This Row],[début]],1,0)+Horaires3567[[#This Row],[PNP Début]])</f>
        <v>0</v>
      </c>
      <c r="L22" s="54">
        <f>IF(Horaires3567[[#This Row],[PNP Fin]]=0,0,IF(Horaires3567[[#This Row],[PNP Fin]]&lt;Horaires3567[[#This Row],[début]],1,0)+Horaires3567[[#This Row],[PNP Fin]])</f>
        <v>0</v>
      </c>
      <c r="M22" s="54">
        <f>IF(Horaires3567[[#This Row],[Fin]]&lt;Horaires3567[[#This Row],[début]],1,0)+Horaires3567[[#This Row],[Fin]]</f>
        <v>0</v>
      </c>
      <c r="N22" s="35">
        <f>IF(Horaires3567[[#This Row],[Fin]]&lt;Horaires3567[[#This Row],[début]],MAX(0,MIN(Horaires3567[[#This Row],[Fin corrigée si nuit]],fin_nuit)-MAX(Horaires3567[[#This Row],[début]],deb_nuit))*24,(MAX(deb_nuit,Horaires3567[[#This Row],[Fin]])-MAX(deb_nuit,Horaires3567[[#This Row],[début]])+MAX(MIN(fin_nuit-1,Horaires3567[[#This Row],[Fin]])-MIN(fin_nuit-1,Horaires3567[[#This Row],[début]]),0))*24)</f>
        <v>0</v>
      </c>
      <c r="O22" s="55">
        <f>(MAX(0,MIN(Horaires3567[[#This Row],[Fin corrigée si nuit]],fin_nuit)-MAX(Horaires3567[[#This Row],[début]],deb_nuit))-IF(Horaires3567[[#This Row],[PNP Début]]=0,0,MIN(Horaires3567[[#This Row],[PNP Fin corrigée]],fin_nuit)-MAX(Horaires3567[[#This Row],[PNP Début corrigé]],deb_nuit)))*24</f>
        <v>0</v>
      </c>
      <c r="P22" s="55">
        <f>(IF(WEEKDAY(Horaires3567[[#This Row],[Date]],2)=7,MAX(0,MIN(fin_dimJF,Horaires3567[[#This Row],[Fin corrigée si nuit]])-MAX(deb_dimJF,Horaires3567[[#This Row],[début]])),0)+IF(WEEKDAY(Horaires3567[[#This Row],[Date]],2)=6,MAX(0,Horaires3567[[#This Row],[Fin corrigée si nuit]]-(1+deb_dimJF)),0))*24</f>
        <v>0</v>
      </c>
      <c r="Q22" s="55">
        <f>(IF(WEEKDAY(Horaires3567[[#This Row],[Date]],2)=7,MAX(0,MIN(fin_dimJF,Horaires3567[[#This Row],[Fin corrigée si nuit]])-MAX(deb_dimJF,Horaires3567[[#This Row],[début]])),0)+IF(WEEKDAY(Horaires3567[[#This Row],[Date]],2)=6,MAX(0,Horaires3567[[#This Row],[Fin corrigée si nuit]]-(1+deb_dimJF)),0))*24-
(IF(WEEKDAY(Horaires3567[[#This Row],[Date]],2)=7,MAX(0,MIN(fin_dimJF,Horaires3567[[#This Row],[PNP Fin corrigée]])-MAX(deb_dimJF,Horaires3567[[#This Row],[PNP Début corrigé]])),0)+IF(WEEKDAY(Horaires3567[[#This Row],[Date]],2)=6,MAX(0,Horaires3567[[#This Row],[PNP Fin corrigée]]-(1+deb_dimJF)),0))*24</f>
        <v>0</v>
      </c>
      <c r="R22" s="55">
        <f>(IF(COUNTIF(JF,Horaires3567[[#This Row],[Date]]),MAX(0,MIN(fin_dimJF,Horaires3567[[#This Row],[Fin corrigée si nuit]])-MAX(deb_dimJF,Horaires3567[[#This Row],[début]])),0)+IF(COUNTIF(JF,Horaires3567[[#This Row],[Date]]+1),MAX(0,Horaires3567[[#This Row],[Fin corrigée si nuit]]-(1+deb_dimJF)),0))*24</f>
        <v>0</v>
      </c>
      <c r="S22" s="55">
        <f>(IF(COUNTIF(JF,Horaires3567[[#This Row],[Date]]),MAX(0,MIN(fin_dimJF,Horaires3567[[#This Row],[Fin corrigée si nuit]])-MAX(deb_dimJF,Horaires3567[[#This Row],[début]])),0)+IF(COUNTIF(JF,Horaires3567[[#This Row],[Date]]+1),MAX(0,Horaires3567[[#This Row],[Fin corrigée si nuit]]-(1+deb_dimJF)),0))*24-
(IF(COUNTIF(JF,Horaires3567[[#This Row],[Date]]),MAX(0,MIN(fin_dimJF,Horaires3567[[#This Row],[PNP Fin corrigée]])-MAX(deb_dimJF,Horaires3567[[#This Row],[PNP Début corrigé]])),0)+IF(COUNTIF(JF,Horaires3567[[#This Row],[Date]]+1),MAX(0,Horaires3567[[#This Row],[PNP Fin corrigée]]-(1+deb_dimJF)),0))*24</f>
        <v>0</v>
      </c>
    </row>
    <row r="23" spans="1:19" ht="14.4" customHeight="1" x14ac:dyDescent="0.35">
      <c r="A23" s="5"/>
      <c r="B23" s="1"/>
      <c r="C23" s="13"/>
      <c r="D23" s="13"/>
      <c r="E23" s="3"/>
      <c r="F23" s="3"/>
      <c r="G23" s="3"/>
      <c r="H23" s="3"/>
      <c r="I23" s="51">
        <f>0.1*(Horaires3567[[#This Row],[Heures de nuit]]+Horaires3567[[#This Row],[heures jour dimanche]]+Horaires3567[[#This Row],[heures jour fériés]])</f>
        <v>0</v>
      </c>
      <c r="J23" s="52">
        <f>(MOD(Horaires3567[[#This Row],[Fin]]-Horaires3567[[#This Row],[début]],1)-MOD(Horaires3567[[#This Row],[PNP Fin]]-Horaires3567[[#This Row],[PNP Début]],1))*24</f>
        <v>0</v>
      </c>
      <c r="K23" s="53">
        <f>IF(Horaires3567[[#This Row],[PNP Début]]=0,0,IF(Horaires3567[[#This Row],[PNP Début]]&lt;Horaires3567[[#This Row],[début]],1,0)+Horaires3567[[#This Row],[PNP Début]])</f>
        <v>0</v>
      </c>
      <c r="L23" s="54">
        <f>IF(Horaires3567[[#This Row],[PNP Fin]]=0,0,IF(Horaires3567[[#This Row],[PNP Fin]]&lt;Horaires3567[[#This Row],[début]],1,0)+Horaires3567[[#This Row],[PNP Fin]])</f>
        <v>0</v>
      </c>
      <c r="M23" s="54">
        <f>IF(Horaires3567[[#This Row],[Fin]]&lt;Horaires3567[[#This Row],[début]],1,0)+Horaires3567[[#This Row],[Fin]]</f>
        <v>0</v>
      </c>
      <c r="N23" s="35">
        <f>IF(Horaires3567[[#This Row],[Fin]]&lt;Horaires3567[[#This Row],[début]],MAX(0,MIN(Horaires3567[[#This Row],[Fin corrigée si nuit]],fin_nuit)-MAX(Horaires3567[[#This Row],[début]],deb_nuit))*24,(MAX(deb_nuit,Horaires3567[[#This Row],[Fin]])-MAX(deb_nuit,Horaires3567[[#This Row],[début]])+MAX(MIN(fin_nuit-1,Horaires3567[[#This Row],[Fin]])-MIN(fin_nuit-1,Horaires3567[[#This Row],[début]]),0))*24)</f>
        <v>0</v>
      </c>
      <c r="O23" s="55">
        <f>(MAX(0,MIN(Horaires3567[[#This Row],[Fin corrigée si nuit]],fin_nuit)-MAX(Horaires3567[[#This Row],[début]],deb_nuit))-IF(Horaires3567[[#This Row],[PNP Début]]=0,0,MIN(Horaires3567[[#This Row],[PNP Fin corrigée]],fin_nuit)-MAX(Horaires3567[[#This Row],[PNP Début corrigé]],deb_nuit)))*24</f>
        <v>0</v>
      </c>
      <c r="P23" s="55">
        <f>(IF(WEEKDAY(Horaires3567[[#This Row],[Date]],2)=7,MAX(0,MIN(fin_dimJF,Horaires3567[[#This Row],[Fin corrigée si nuit]])-MAX(deb_dimJF,Horaires3567[[#This Row],[début]])),0)+IF(WEEKDAY(Horaires3567[[#This Row],[Date]],2)=6,MAX(0,Horaires3567[[#This Row],[Fin corrigée si nuit]]-(1+deb_dimJF)),0))*24</f>
        <v>0</v>
      </c>
      <c r="Q23" s="55">
        <f>(IF(WEEKDAY(Horaires3567[[#This Row],[Date]],2)=7,MAX(0,MIN(fin_dimJF,Horaires3567[[#This Row],[Fin corrigée si nuit]])-MAX(deb_dimJF,Horaires3567[[#This Row],[début]])),0)+IF(WEEKDAY(Horaires3567[[#This Row],[Date]],2)=6,MAX(0,Horaires3567[[#This Row],[Fin corrigée si nuit]]-(1+deb_dimJF)),0))*24-
(IF(WEEKDAY(Horaires3567[[#This Row],[Date]],2)=7,MAX(0,MIN(fin_dimJF,Horaires3567[[#This Row],[PNP Fin corrigée]])-MAX(deb_dimJF,Horaires3567[[#This Row],[PNP Début corrigé]])),0)+IF(WEEKDAY(Horaires3567[[#This Row],[Date]],2)=6,MAX(0,Horaires3567[[#This Row],[PNP Fin corrigée]]-(1+deb_dimJF)),0))*24</f>
        <v>0</v>
      </c>
      <c r="R23" s="55">
        <f>(IF(COUNTIF(JF,Horaires3567[[#This Row],[Date]]),MAX(0,MIN(fin_dimJF,Horaires3567[[#This Row],[Fin corrigée si nuit]])-MAX(deb_dimJF,Horaires3567[[#This Row],[début]])),0)+IF(COUNTIF(JF,Horaires3567[[#This Row],[Date]]+1),MAX(0,Horaires3567[[#This Row],[Fin corrigée si nuit]]-(1+deb_dimJF)),0))*24</f>
        <v>0</v>
      </c>
      <c r="S23" s="55">
        <f>(IF(COUNTIF(JF,Horaires3567[[#This Row],[Date]]),MAX(0,MIN(fin_dimJF,Horaires3567[[#This Row],[Fin corrigée si nuit]])-MAX(deb_dimJF,Horaires3567[[#This Row],[début]])),0)+IF(COUNTIF(JF,Horaires3567[[#This Row],[Date]]+1),MAX(0,Horaires3567[[#This Row],[Fin corrigée si nuit]]-(1+deb_dimJF)),0))*24-
(IF(COUNTIF(JF,Horaires3567[[#This Row],[Date]]),MAX(0,MIN(fin_dimJF,Horaires3567[[#This Row],[PNP Fin corrigée]])-MAX(deb_dimJF,Horaires3567[[#This Row],[PNP Début corrigé]])),0)+IF(COUNTIF(JF,Horaires3567[[#This Row],[Date]]+1),MAX(0,Horaires3567[[#This Row],[PNP Fin corrigée]]-(1+deb_dimJF)),0))*24</f>
        <v>0</v>
      </c>
    </row>
    <row r="24" spans="1:19" ht="14.4" customHeight="1" x14ac:dyDescent="0.35">
      <c r="A24" s="5"/>
      <c r="B24" s="1"/>
      <c r="C24" s="2"/>
      <c r="D24" s="2"/>
      <c r="E24" s="3"/>
      <c r="F24" s="3"/>
      <c r="G24" s="3"/>
      <c r="H24" s="3"/>
      <c r="I24" s="51">
        <f>0.1*(Horaires3567[[#This Row],[Heures de nuit]]+Horaires3567[[#This Row],[heures jour dimanche]]+Horaires3567[[#This Row],[heures jour fériés]])</f>
        <v>0</v>
      </c>
      <c r="J24" s="52">
        <f>(MOD(Horaires3567[[#This Row],[Fin]]-Horaires3567[[#This Row],[début]],1)-MOD(Horaires3567[[#This Row],[PNP Fin]]-Horaires3567[[#This Row],[PNP Début]],1))*24</f>
        <v>0</v>
      </c>
      <c r="K24" s="53">
        <f>IF(Horaires3567[[#This Row],[PNP Début]]=0,0,IF(Horaires3567[[#This Row],[PNP Début]]&lt;Horaires3567[[#This Row],[début]],1,0)+Horaires3567[[#This Row],[PNP Début]])</f>
        <v>0</v>
      </c>
      <c r="L24" s="54">
        <f>IF(Horaires3567[[#This Row],[PNP Fin]]=0,0,IF(Horaires3567[[#This Row],[PNP Fin]]&lt;Horaires3567[[#This Row],[début]],1,0)+Horaires3567[[#This Row],[PNP Fin]])</f>
        <v>0</v>
      </c>
      <c r="M24" s="54">
        <f>IF(Horaires3567[[#This Row],[Fin]]&lt;Horaires3567[[#This Row],[début]],1,0)+Horaires3567[[#This Row],[Fin]]</f>
        <v>0</v>
      </c>
      <c r="N24" s="35">
        <f>IF(Horaires3567[[#This Row],[Fin]]&lt;Horaires3567[[#This Row],[début]],MAX(0,MIN(Horaires3567[[#This Row],[Fin corrigée si nuit]],fin_nuit)-MAX(Horaires3567[[#This Row],[début]],deb_nuit))*24,(MAX(deb_nuit,Horaires3567[[#This Row],[Fin]])-MAX(deb_nuit,Horaires3567[[#This Row],[début]])+MAX(MIN(fin_nuit-1,Horaires3567[[#This Row],[Fin]])-MIN(fin_nuit-1,Horaires3567[[#This Row],[début]]),0))*24)</f>
        <v>0</v>
      </c>
      <c r="O24" s="55">
        <f>(MAX(0,MIN(Horaires3567[[#This Row],[Fin corrigée si nuit]],fin_nuit)-MAX(Horaires3567[[#This Row],[début]],deb_nuit))-IF(Horaires3567[[#This Row],[PNP Début]]=0,0,MIN(Horaires3567[[#This Row],[PNP Fin corrigée]],fin_nuit)-MAX(Horaires3567[[#This Row],[PNP Début corrigé]],deb_nuit)))*24</f>
        <v>0</v>
      </c>
      <c r="P24" s="55">
        <f>(IF(WEEKDAY(Horaires3567[[#This Row],[Date]],2)=7,MAX(0,MIN(fin_dimJF,Horaires3567[[#This Row],[Fin corrigée si nuit]])-MAX(deb_dimJF,Horaires3567[[#This Row],[début]])),0)+IF(WEEKDAY(Horaires3567[[#This Row],[Date]],2)=6,MAX(0,Horaires3567[[#This Row],[Fin corrigée si nuit]]-(1+deb_dimJF)),0))*24</f>
        <v>0</v>
      </c>
      <c r="Q24" s="55">
        <f>(IF(WEEKDAY(Horaires3567[[#This Row],[Date]],2)=7,MAX(0,MIN(fin_dimJF,Horaires3567[[#This Row],[Fin corrigée si nuit]])-MAX(deb_dimJF,Horaires3567[[#This Row],[début]])),0)+IF(WEEKDAY(Horaires3567[[#This Row],[Date]],2)=6,MAX(0,Horaires3567[[#This Row],[Fin corrigée si nuit]]-(1+deb_dimJF)),0))*24-
(IF(WEEKDAY(Horaires3567[[#This Row],[Date]],2)=7,MAX(0,MIN(fin_dimJF,Horaires3567[[#This Row],[PNP Fin corrigée]])-MAX(deb_dimJF,Horaires3567[[#This Row],[PNP Début corrigé]])),0)+IF(WEEKDAY(Horaires3567[[#This Row],[Date]],2)=6,MAX(0,Horaires3567[[#This Row],[PNP Fin corrigée]]-(1+deb_dimJF)),0))*24</f>
        <v>0</v>
      </c>
      <c r="R24" s="55">
        <f>(IF(COUNTIF(JF,Horaires3567[[#This Row],[Date]]),MAX(0,MIN(fin_dimJF,Horaires3567[[#This Row],[Fin corrigée si nuit]])-MAX(deb_dimJF,Horaires3567[[#This Row],[début]])),0)+IF(COUNTIF(JF,Horaires3567[[#This Row],[Date]]+1),MAX(0,Horaires3567[[#This Row],[Fin corrigée si nuit]]-(1+deb_dimJF)),0))*24</f>
        <v>0</v>
      </c>
      <c r="S24" s="55">
        <f>(IF(COUNTIF(JF,Horaires3567[[#This Row],[Date]]),MAX(0,MIN(fin_dimJF,Horaires3567[[#This Row],[Fin corrigée si nuit]])-MAX(deb_dimJF,Horaires3567[[#This Row],[début]])),0)+IF(COUNTIF(JF,Horaires3567[[#This Row],[Date]]+1),MAX(0,Horaires3567[[#This Row],[Fin corrigée si nuit]]-(1+deb_dimJF)),0))*24-
(IF(COUNTIF(JF,Horaires3567[[#This Row],[Date]]),MAX(0,MIN(fin_dimJF,Horaires3567[[#This Row],[PNP Fin corrigée]])-MAX(deb_dimJF,Horaires3567[[#This Row],[PNP Début corrigé]])),0)+IF(COUNTIF(JF,Horaires3567[[#This Row],[Date]]+1),MAX(0,Horaires3567[[#This Row],[PNP Fin corrigée]]-(1+deb_dimJF)),0))*24</f>
        <v>0</v>
      </c>
    </row>
    <row r="25" spans="1:19" ht="14.4" customHeight="1" x14ac:dyDescent="0.35">
      <c r="A25" s="5"/>
      <c r="B25" s="1"/>
      <c r="C25" s="2"/>
      <c r="D25" s="2"/>
      <c r="E25" s="3"/>
      <c r="F25" s="3"/>
      <c r="G25" s="3"/>
      <c r="H25" s="3"/>
      <c r="I25" s="51">
        <f>0.1*(Horaires3567[[#This Row],[Heures de nuit]]+Horaires3567[[#This Row],[heures jour dimanche]]+Horaires3567[[#This Row],[heures jour fériés]])</f>
        <v>0</v>
      </c>
      <c r="J25" s="52">
        <f>(MOD(Horaires3567[[#This Row],[Fin]]-Horaires3567[[#This Row],[début]],1)-MOD(Horaires3567[[#This Row],[PNP Fin]]-Horaires3567[[#This Row],[PNP Début]],1))*24</f>
        <v>0</v>
      </c>
      <c r="K25" s="53">
        <f>IF(Horaires3567[[#This Row],[PNP Début]]=0,0,IF(Horaires3567[[#This Row],[PNP Début]]&lt;Horaires3567[[#This Row],[début]],1,0)+Horaires3567[[#This Row],[PNP Début]])</f>
        <v>0</v>
      </c>
      <c r="L25" s="54">
        <f>IF(Horaires3567[[#This Row],[PNP Fin]]=0,0,IF(Horaires3567[[#This Row],[PNP Fin]]&lt;Horaires3567[[#This Row],[début]],1,0)+Horaires3567[[#This Row],[PNP Fin]])</f>
        <v>0</v>
      </c>
      <c r="M25" s="54">
        <f>IF(Horaires3567[[#This Row],[Fin]]&lt;Horaires3567[[#This Row],[début]],1,0)+Horaires3567[[#This Row],[Fin]]</f>
        <v>0</v>
      </c>
      <c r="N25" s="35">
        <f>IF(Horaires3567[[#This Row],[Fin]]&lt;Horaires3567[[#This Row],[début]],MAX(0,MIN(Horaires3567[[#This Row],[Fin corrigée si nuit]],fin_nuit)-MAX(Horaires3567[[#This Row],[début]],deb_nuit))*24,(MAX(deb_nuit,Horaires3567[[#This Row],[Fin]])-MAX(deb_nuit,Horaires3567[[#This Row],[début]])+MAX(MIN(fin_nuit-1,Horaires3567[[#This Row],[Fin]])-MIN(fin_nuit-1,Horaires3567[[#This Row],[début]]),0))*24)</f>
        <v>0</v>
      </c>
      <c r="O25" s="55">
        <f>(MAX(0,MIN(Horaires3567[[#This Row],[Fin corrigée si nuit]],fin_nuit)-MAX(Horaires3567[[#This Row],[début]],deb_nuit))-IF(Horaires3567[[#This Row],[PNP Début]]=0,0,MIN(Horaires3567[[#This Row],[PNP Fin corrigée]],fin_nuit)-MAX(Horaires3567[[#This Row],[PNP Début corrigé]],deb_nuit)))*24</f>
        <v>0</v>
      </c>
      <c r="P25" s="55">
        <f>(IF(WEEKDAY(Horaires3567[[#This Row],[Date]],2)=7,MAX(0,MIN(fin_dimJF,Horaires3567[[#This Row],[Fin corrigée si nuit]])-MAX(deb_dimJF,Horaires3567[[#This Row],[début]])),0)+IF(WEEKDAY(Horaires3567[[#This Row],[Date]],2)=6,MAX(0,Horaires3567[[#This Row],[Fin corrigée si nuit]]-(1+deb_dimJF)),0))*24</f>
        <v>0</v>
      </c>
      <c r="Q25" s="55">
        <f>(IF(WEEKDAY(Horaires3567[[#This Row],[Date]],2)=7,MAX(0,MIN(fin_dimJF,Horaires3567[[#This Row],[Fin corrigée si nuit]])-MAX(deb_dimJF,Horaires3567[[#This Row],[début]])),0)+IF(WEEKDAY(Horaires3567[[#This Row],[Date]],2)=6,MAX(0,Horaires3567[[#This Row],[Fin corrigée si nuit]]-(1+deb_dimJF)),0))*24-
(IF(WEEKDAY(Horaires3567[[#This Row],[Date]],2)=7,MAX(0,MIN(fin_dimJF,Horaires3567[[#This Row],[PNP Fin corrigée]])-MAX(deb_dimJF,Horaires3567[[#This Row],[PNP Début corrigé]])),0)+IF(WEEKDAY(Horaires3567[[#This Row],[Date]],2)=6,MAX(0,Horaires3567[[#This Row],[PNP Fin corrigée]]-(1+deb_dimJF)),0))*24</f>
        <v>0</v>
      </c>
      <c r="R25" s="55">
        <f>(IF(COUNTIF(JF,Horaires3567[[#This Row],[Date]]),MAX(0,MIN(fin_dimJF,Horaires3567[[#This Row],[Fin corrigée si nuit]])-MAX(deb_dimJF,Horaires3567[[#This Row],[début]])),0)+IF(COUNTIF(JF,Horaires3567[[#This Row],[Date]]+1),MAX(0,Horaires3567[[#This Row],[Fin corrigée si nuit]]-(1+deb_dimJF)),0))*24</f>
        <v>0</v>
      </c>
      <c r="S25" s="55">
        <f>(IF(COUNTIF(JF,Horaires3567[[#This Row],[Date]]),MAX(0,MIN(fin_dimJF,Horaires3567[[#This Row],[Fin corrigée si nuit]])-MAX(deb_dimJF,Horaires3567[[#This Row],[début]])),0)+IF(COUNTIF(JF,Horaires3567[[#This Row],[Date]]+1),MAX(0,Horaires3567[[#This Row],[Fin corrigée si nuit]]-(1+deb_dimJF)),0))*24-
(IF(COUNTIF(JF,Horaires3567[[#This Row],[Date]]),MAX(0,MIN(fin_dimJF,Horaires3567[[#This Row],[PNP Fin corrigée]])-MAX(deb_dimJF,Horaires3567[[#This Row],[PNP Début corrigé]])),0)+IF(COUNTIF(JF,Horaires3567[[#This Row],[Date]]+1),MAX(0,Horaires3567[[#This Row],[PNP Fin corrigée]]-(1+deb_dimJF)),0))*24</f>
        <v>0</v>
      </c>
    </row>
    <row r="26" spans="1:19" ht="14.4" customHeight="1" x14ac:dyDescent="0.35">
      <c r="A26" s="5"/>
      <c r="B26" s="1"/>
      <c r="C26" s="2"/>
      <c r="D26" s="2"/>
      <c r="E26" s="3"/>
      <c r="F26" s="3"/>
      <c r="G26" s="3"/>
      <c r="H26" s="3"/>
      <c r="I26" s="51">
        <f>0.1*(Horaires3567[[#This Row],[Heures de nuit]]+Horaires3567[[#This Row],[heures jour dimanche]]+Horaires3567[[#This Row],[heures jour fériés]])</f>
        <v>0</v>
      </c>
      <c r="J26" s="52">
        <f>(MOD(Horaires3567[[#This Row],[Fin]]-Horaires3567[[#This Row],[début]],1)-MOD(Horaires3567[[#This Row],[PNP Fin]]-Horaires3567[[#This Row],[PNP Début]],1))*24</f>
        <v>0</v>
      </c>
      <c r="K26" s="53">
        <f>IF(Horaires3567[[#This Row],[PNP Début]]=0,0,IF(Horaires3567[[#This Row],[PNP Début]]&lt;Horaires3567[[#This Row],[début]],1,0)+Horaires3567[[#This Row],[PNP Début]])</f>
        <v>0</v>
      </c>
      <c r="L26" s="54">
        <f>IF(Horaires3567[[#This Row],[PNP Fin]]=0,0,IF(Horaires3567[[#This Row],[PNP Fin]]&lt;Horaires3567[[#This Row],[début]],1,0)+Horaires3567[[#This Row],[PNP Fin]])</f>
        <v>0</v>
      </c>
      <c r="M26" s="54">
        <f>IF(Horaires3567[[#This Row],[Fin]]&lt;Horaires3567[[#This Row],[début]],1,0)+Horaires3567[[#This Row],[Fin]]</f>
        <v>0</v>
      </c>
      <c r="N26" s="35">
        <f>IF(Horaires3567[[#This Row],[Fin]]&lt;Horaires3567[[#This Row],[début]],MAX(0,MIN(Horaires3567[[#This Row],[Fin corrigée si nuit]],fin_nuit)-MAX(Horaires3567[[#This Row],[début]],deb_nuit))*24,(MAX(deb_nuit,Horaires3567[[#This Row],[Fin]])-MAX(deb_nuit,Horaires3567[[#This Row],[début]])+MAX(MIN(fin_nuit-1,Horaires3567[[#This Row],[Fin]])-MIN(fin_nuit-1,Horaires3567[[#This Row],[début]]),0))*24)</f>
        <v>0</v>
      </c>
      <c r="O26" s="55">
        <f>(MAX(0,MIN(Horaires3567[[#This Row],[Fin corrigée si nuit]],fin_nuit)-MAX(Horaires3567[[#This Row],[début]],deb_nuit))-IF(Horaires3567[[#This Row],[PNP Début]]=0,0,MIN(Horaires3567[[#This Row],[PNP Fin corrigée]],fin_nuit)-MAX(Horaires3567[[#This Row],[PNP Début corrigé]],deb_nuit)))*24</f>
        <v>0</v>
      </c>
      <c r="P26" s="55">
        <f>(IF(WEEKDAY(Horaires3567[[#This Row],[Date]],2)=7,MAX(0,MIN(fin_dimJF,Horaires3567[[#This Row],[Fin corrigée si nuit]])-MAX(deb_dimJF,Horaires3567[[#This Row],[début]])),0)+IF(WEEKDAY(Horaires3567[[#This Row],[Date]],2)=6,MAX(0,Horaires3567[[#This Row],[Fin corrigée si nuit]]-(1+deb_dimJF)),0))*24</f>
        <v>0</v>
      </c>
      <c r="Q26" s="55">
        <f>(IF(WEEKDAY(Horaires3567[[#This Row],[Date]],2)=7,MAX(0,MIN(fin_dimJF,Horaires3567[[#This Row],[Fin corrigée si nuit]])-MAX(deb_dimJF,Horaires3567[[#This Row],[début]])),0)+IF(WEEKDAY(Horaires3567[[#This Row],[Date]],2)=6,MAX(0,Horaires3567[[#This Row],[Fin corrigée si nuit]]-(1+deb_dimJF)),0))*24-
(IF(WEEKDAY(Horaires3567[[#This Row],[Date]],2)=7,MAX(0,MIN(fin_dimJF,Horaires3567[[#This Row],[PNP Fin corrigée]])-MAX(deb_dimJF,Horaires3567[[#This Row],[PNP Début corrigé]])),0)+IF(WEEKDAY(Horaires3567[[#This Row],[Date]],2)=6,MAX(0,Horaires3567[[#This Row],[PNP Fin corrigée]]-(1+deb_dimJF)),0))*24</f>
        <v>0</v>
      </c>
      <c r="R26" s="55">
        <f>(IF(COUNTIF(JF,Horaires3567[[#This Row],[Date]]),MAX(0,MIN(fin_dimJF,Horaires3567[[#This Row],[Fin corrigée si nuit]])-MAX(deb_dimJF,Horaires3567[[#This Row],[début]])),0)+IF(COUNTIF(JF,Horaires3567[[#This Row],[Date]]+1),MAX(0,Horaires3567[[#This Row],[Fin corrigée si nuit]]-(1+deb_dimJF)),0))*24</f>
        <v>0</v>
      </c>
      <c r="S26" s="55">
        <f>(IF(COUNTIF(JF,Horaires3567[[#This Row],[Date]]),MAX(0,MIN(fin_dimJF,Horaires3567[[#This Row],[Fin corrigée si nuit]])-MAX(deb_dimJF,Horaires3567[[#This Row],[début]])),0)+IF(COUNTIF(JF,Horaires3567[[#This Row],[Date]]+1),MAX(0,Horaires3567[[#This Row],[Fin corrigée si nuit]]-(1+deb_dimJF)),0))*24-
(IF(COUNTIF(JF,Horaires3567[[#This Row],[Date]]),MAX(0,MIN(fin_dimJF,Horaires3567[[#This Row],[PNP Fin corrigée]])-MAX(deb_dimJF,Horaires3567[[#This Row],[PNP Début corrigé]])),0)+IF(COUNTIF(JF,Horaires3567[[#This Row],[Date]]+1),MAX(0,Horaires3567[[#This Row],[PNP Fin corrigée]]-(1+deb_dimJF)),0))*24</f>
        <v>0</v>
      </c>
    </row>
    <row r="27" spans="1:19" ht="14.4" customHeight="1" x14ac:dyDescent="0.35">
      <c r="A27" s="5"/>
      <c r="B27" s="1"/>
      <c r="C27" s="2"/>
      <c r="D27" s="2"/>
      <c r="E27" s="3"/>
      <c r="F27" s="3"/>
      <c r="G27" s="3"/>
      <c r="H27" s="3"/>
      <c r="I27" s="51">
        <f>0.1*(Horaires3567[[#This Row],[Heures de nuit]]+Horaires3567[[#This Row],[heures jour dimanche]]+Horaires3567[[#This Row],[heures jour fériés]])</f>
        <v>0</v>
      </c>
      <c r="J27" s="52">
        <f>(MOD(Horaires3567[[#This Row],[Fin]]-Horaires3567[[#This Row],[début]],1)-MOD(Horaires3567[[#This Row],[PNP Fin]]-Horaires3567[[#This Row],[PNP Début]],1))*24</f>
        <v>0</v>
      </c>
      <c r="K27" s="53">
        <f>IF(Horaires3567[[#This Row],[PNP Début]]=0,0,IF(Horaires3567[[#This Row],[PNP Début]]&lt;Horaires3567[[#This Row],[début]],1,0)+Horaires3567[[#This Row],[PNP Début]])</f>
        <v>0</v>
      </c>
      <c r="L27" s="54">
        <f>IF(Horaires3567[[#This Row],[PNP Fin]]=0,0,IF(Horaires3567[[#This Row],[PNP Fin]]&lt;Horaires3567[[#This Row],[début]],1,0)+Horaires3567[[#This Row],[PNP Fin]])</f>
        <v>0</v>
      </c>
      <c r="M27" s="54">
        <f>IF(Horaires3567[[#This Row],[Fin]]&lt;Horaires3567[[#This Row],[début]],1,0)+Horaires3567[[#This Row],[Fin]]</f>
        <v>0</v>
      </c>
      <c r="N27" s="35">
        <f>IF(Horaires3567[[#This Row],[Fin]]&lt;Horaires3567[[#This Row],[début]],MAX(0,MIN(Horaires3567[[#This Row],[Fin corrigée si nuit]],fin_nuit)-MAX(Horaires3567[[#This Row],[début]],deb_nuit))*24,(MAX(deb_nuit,Horaires3567[[#This Row],[Fin]])-MAX(deb_nuit,Horaires3567[[#This Row],[début]])+MAX(MIN(fin_nuit-1,Horaires3567[[#This Row],[Fin]])-MIN(fin_nuit-1,Horaires3567[[#This Row],[début]]),0))*24)</f>
        <v>0</v>
      </c>
      <c r="O27" s="55">
        <f>(MAX(0,MIN(Horaires3567[[#This Row],[Fin corrigée si nuit]],fin_nuit)-MAX(Horaires3567[[#This Row],[début]],deb_nuit))-IF(Horaires3567[[#This Row],[PNP Début]]=0,0,MIN(Horaires3567[[#This Row],[PNP Fin corrigée]],fin_nuit)-MAX(Horaires3567[[#This Row],[PNP Début corrigé]],deb_nuit)))*24</f>
        <v>0</v>
      </c>
      <c r="P27" s="55">
        <f>(IF(WEEKDAY(Horaires3567[[#This Row],[Date]],2)=7,MAX(0,MIN(fin_dimJF,Horaires3567[[#This Row],[Fin corrigée si nuit]])-MAX(deb_dimJF,Horaires3567[[#This Row],[début]])),0)+IF(WEEKDAY(Horaires3567[[#This Row],[Date]],2)=6,MAX(0,Horaires3567[[#This Row],[Fin corrigée si nuit]]-(1+deb_dimJF)),0))*24</f>
        <v>0</v>
      </c>
      <c r="Q27" s="55">
        <f>(IF(WEEKDAY(Horaires3567[[#This Row],[Date]],2)=7,MAX(0,MIN(fin_dimJF,Horaires3567[[#This Row],[Fin corrigée si nuit]])-MAX(deb_dimJF,Horaires3567[[#This Row],[début]])),0)+IF(WEEKDAY(Horaires3567[[#This Row],[Date]],2)=6,MAX(0,Horaires3567[[#This Row],[Fin corrigée si nuit]]-(1+deb_dimJF)),0))*24-
(IF(WEEKDAY(Horaires3567[[#This Row],[Date]],2)=7,MAX(0,MIN(fin_dimJF,Horaires3567[[#This Row],[PNP Fin corrigée]])-MAX(deb_dimJF,Horaires3567[[#This Row],[PNP Début corrigé]])),0)+IF(WEEKDAY(Horaires3567[[#This Row],[Date]],2)=6,MAX(0,Horaires3567[[#This Row],[PNP Fin corrigée]]-(1+deb_dimJF)),0))*24</f>
        <v>0</v>
      </c>
      <c r="R27" s="55">
        <f>(IF(COUNTIF(JF,Horaires3567[[#This Row],[Date]]),MAX(0,MIN(fin_dimJF,Horaires3567[[#This Row],[Fin corrigée si nuit]])-MAX(deb_dimJF,Horaires3567[[#This Row],[début]])),0)+IF(COUNTIF(JF,Horaires3567[[#This Row],[Date]]+1),MAX(0,Horaires3567[[#This Row],[Fin corrigée si nuit]]-(1+deb_dimJF)),0))*24</f>
        <v>0</v>
      </c>
      <c r="S27" s="55">
        <f>(IF(COUNTIF(JF,Horaires3567[[#This Row],[Date]]),MAX(0,MIN(fin_dimJF,Horaires3567[[#This Row],[Fin corrigée si nuit]])-MAX(deb_dimJF,Horaires3567[[#This Row],[début]])),0)+IF(COUNTIF(JF,Horaires3567[[#This Row],[Date]]+1),MAX(0,Horaires3567[[#This Row],[Fin corrigée si nuit]]-(1+deb_dimJF)),0))*24-
(IF(COUNTIF(JF,Horaires3567[[#This Row],[Date]]),MAX(0,MIN(fin_dimJF,Horaires3567[[#This Row],[PNP Fin corrigée]])-MAX(deb_dimJF,Horaires3567[[#This Row],[PNP Début corrigé]])),0)+IF(COUNTIF(JF,Horaires3567[[#This Row],[Date]]+1),MAX(0,Horaires3567[[#This Row],[PNP Fin corrigée]]-(1+deb_dimJF)),0))*24</f>
        <v>0</v>
      </c>
    </row>
    <row r="28" spans="1:19" ht="14.4" customHeight="1" x14ac:dyDescent="0.35">
      <c r="A28" s="5"/>
      <c r="B28" s="1"/>
      <c r="C28" s="2"/>
      <c r="D28" s="2"/>
      <c r="E28" s="3"/>
      <c r="F28" s="3"/>
      <c r="G28" s="3"/>
      <c r="H28" s="3"/>
      <c r="I28" s="51">
        <f>0.1*(Horaires3567[[#This Row],[Heures de nuit]]+Horaires3567[[#This Row],[heures jour dimanche]]+Horaires3567[[#This Row],[heures jour fériés]])</f>
        <v>0</v>
      </c>
      <c r="J28" s="52">
        <f>(MOD(Horaires3567[[#This Row],[Fin]]-Horaires3567[[#This Row],[début]],1)-MOD(Horaires3567[[#This Row],[PNP Fin]]-Horaires3567[[#This Row],[PNP Début]],1))*24</f>
        <v>0</v>
      </c>
      <c r="K28" s="53">
        <f>IF(Horaires3567[[#This Row],[PNP Début]]=0,0,IF(Horaires3567[[#This Row],[PNP Début]]&lt;Horaires3567[[#This Row],[début]],1,0)+Horaires3567[[#This Row],[PNP Début]])</f>
        <v>0</v>
      </c>
      <c r="L28" s="54">
        <f>IF(Horaires3567[[#This Row],[PNP Fin]]=0,0,IF(Horaires3567[[#This Row],[PNP Fin]]&lt;Horaires3567[[#This Row],[début]],1,0)+Horaires3567[[#This Row],[PNP Fin]])</f>
        <v>0</v>
      </c>
      <c r="M28" s="54">
        <f>IF(Horaires3567[[#This Row],[Fin]]&lt;Horaires3567[[#This Row],[début]],1,0)+Horaires3567[[#This Row],[Fin]]</f>
        <v>0</v>
      </c>
      <c r="N28" s="35">
        <f>IF(Horaires3567[[#This Row],[Fin]]&lt;Horaires3567[[#This Row],[début]],MAX(0,MIN(Horaires3567[[#This Row],[Fin corrigée si nuit]],fin_nuit)-MAX(Horaires3567[[#This Row],[début]],deb_nuit))*24,(MAX(deb_nuit,Horaires3567[[#This Row],[Fin]])-MAX(deb_nuit,Horaires3567[[#This Row],[début]])+MAX(MIN(fin_nuit-1,Horaires3567[[#This Row],[Fin]])-MIN(fin_nuit-1,Horaires3567[[#This Row],[début]]),0))*24)</f>
        <v>0</v>
      </c>
      <c r="O28" s="55">
        <f>(MAX(0,MIN(Horaires3567[[#This Row],[Fin corrigée si nuit]],fin_nuit)-MAX(Horaires3567[[#This Row],[début]],deb_nuit))-IF(Horaires3567[[#This Row],[PNP Début]]=0,0,MIN(Horaires3567[[#This Row],[PNP Fin corrigée]],fin_nuit)-MAX(Horaires3567[[#This Row],[PNP Début corrigé]],deb_nuit)))*24</f>
        <v>0</v>
      </c>
      <c r="P28" s="55">
        <f>(IF(WEEKDAY(Horaires3567[[#This Row],[Date]],2)=7,MAX(0,MIN(fin_dimJF,Horaires3567[[#This Row],[Fin corrigée si nuit]])-MAX(deb_dimJF,Horaires3567[[#This Row],[début]])),0)+IF(WEEKDAY(Horaires3567[[#This Row],[Date]],2)=6,MAX(0,Horaires3567[[#This Row],[Fin corrigée si nuit]]-(1+deb_dimJF)),0))*24</f>
        <v>0</v>
      </c>
      <c r="Q28" s="55">
        <f>(IF(WEEKDAY(Horaires3567[[#This Row],[Date]],2)=7,MAX(0,MIN(fin_dimJF,Horaires3567[[#This Row],[Fin corrigée si nuit]])-MAX(deb_dimJF,Horaires3567[[#This Row],[début]])),0)+IF(WEEKDAY(Horaires3567[[#This Row],[Date]],2)=6,MAX(0,Horaires3567[[#This Row],[Fin corrigée si nuit]]-(1+deb_dimJF)),0))*24-
(IF(WEEKDAY(Horaires3567[[#This Row],[Date]],2)=7,MAX(0,MIN(fin_dimJF,Horaires3567[[#This Row],[PNP Fin corrigée]])-MAX(deb_dimJF,Horaires3567[[#This Row],[PNP Début corrigé]])),0)+IF(WEEKDAY(Horaires3567[[#This Row],[Date]],2)=6,MAX(0,Horaires3567[[#This Row],[PNP Fin corrigée]]-(1+deb_dimJF)),0))*24</f>
        <v>0</v>
      </c>
      <c r="R28" s="55">
        <f>(IF(COUNTIF(JF,Horaires3567[[#This Row],[Date]]),MAX(0,MIN(fin_dimJF,Horaires3567[[#This Row],[Fin corrigée si nuit]])-MAX(deb_dimJF,Horaires3567[[#This Row],[début]])),0)+IF(COUNTIF(JF,Horaires3567[[#This Row],[Date]]+1),MAX(0,Horaires3567[[#This Row],[Fin corrigée si nuit]]-(1+deb_dimJF)),0))*24</f>
        <v>0</v>
      </c>
      <c r="S28" s="55">
        <f>(IF(COUNTIF(JF,Horaires3567[[#This Row],[Date]]),MAX(0,MIN(fin_dimJF,Horaires3567[[#This Row],[Fin corrigée si nuit]])-MAX(deb_dimJF,Horaires3567[[#This Row],[début]])),0)+IF(COUNTIF(JF,Horaires3567[[#This Row],[Date]]+1),MAX(0,Horaires3567[[#This Row],[Fin corrigée si nuit]]-(1+deb_dimJF)),0))*24-
(IF(COUNTIF(JF,Horaires3567[[#This Row],[Date]]),MAX(0,MIN(fin_dimJF,Horaires3567[[#This Row],[PNP Fin corrigée]])-MAX(deb_dimJF,Horaires3567[[#This Row],[PNP Début corrigé]])),0)+IF(COUNTIF(JF,Horaires3567[[#This Row],[Date]]+1),MAX(0,Horaires3567[[#This Row],[PNP Fin corrigée]]-(1+deb_dimJF)),0))*24</f>
        <v>0</v>
      </c>
    </row>
    <row r="29" spans="1:19" ht="14.4" customHeight="1" x14ac:dyDescent="0.35">
      <c r="A29" s="5"/>
      <c r="B29" s="1"/>
      <c r="C29" s="2"/>
      <c r="D29" s="2"/>
      <c r="E29" s="3"/>
      <c r="F29" s="3"/>
      <c r="G29" s="3"/>
      <c r="H29" s="3"/>
      <c r="I29" s="51">
        <f>0.1*(Horaires3567[[#This Row],[Heures de nuit]]+Horaires3567[[#This Row],[heures jour dimanche]]+Horaires3567[[#This Row],[heures jour fériés]])</f>
        <v>0</v>
      </c>
      <c r="J29" s="52">
        <f>(MOD(Horaires3567[[#This Row],[Fin]]-Horaires3567[[#This Row],[début]],1)-MOD(Horaires3567[[#This Row],[PNP Fin]]-Horaires3567[[#This Row],[PNP Début]],1))*24</f>
        <v>0</v>
      </c>
      <c r="K29" s="53">
        <f>IF(Horaires3567[[#This Row],[PNP Début]]=0,0,IF(Horaires3567[[#This Row],[PNP Début]]&lt;Horaires3567[[#This Row],[début]],1,0)+Horaires3567[[#This Row],[PNP Début]])</f>
        <v>0</v>
      </c>
      <c r="L29" s="54">
        <f>IF(Horaires3567[[#This Row],[PNP Fin]]=0,0,IF(Horaires3567[[#This Row],[PNP Fin]]&lt;Horaires3567[[#This Row],[début]],1,0)+Horaires3567[[#This Row],[PNP Fin]])</f>
        <v>0</v>
      </c>
      <c r="M29" s="54">
        <f>IF(Horaires3567[[#This Row],[Fin]]&lt;Horaires3567[[#This Row],[début]],1,0)+Horaires3567[[#This Row],[Fin]]</f>
        <v>0</v>
      </c>
      <c r="N29" s="35">
        <f>IF(Horaires3567[[#This Row],[Fin]]&lt;Horaires3567[[#This Row],[début]],MAX(0,MIN(Horaires3567[[#This Row],[Fin corrigée si nuit]],fin_nuit)-MAX(Horaires3567[[#This Row],[début]],deb_nuit))*24,(MAX(deb_nuit,Horaires3567[[#This Row],[Fin]])-MAX(deb_nuit,Horaires3567[[#This Row],[début]])+MAX(MIN(fin_nuit-1,Horaires3567[[#This Row],[Fin]])-MIN(fin_nuit-1,Horaires3567[[#This Row],[début]]),0))*24)</f>
        <v>0</v>
      </c>
      <c r="O29" s="55">
        <f>(MAX(0,MIN(Horaires3567[[#This Row],[Fin corrigée si nuit]],fin_nuit)-MAX(Horaires3567[[#This Row],[début]],deb_nuit))-IF(Horaires3567[[#This Row],[PNP Début]]=0,0,MIN(Horaires3567[[#This Row],[PNP Fin corrigée]],fin_nuit)-MAX(Horaires3567[[#This Row],[PNP Début corrigé]],deb_nuit)))*24</f>
        <v>0</v>
      </c>
      <c r="P29" s="55">
        <f>(IF(WEEKDAY(Horaires3567[[#This Row],[Date]],2)=7,MAX(0,MIN(fin_dimJF,Horaires3567[[#This Row],[Fin corrigée si nuit]])-MAX(deb_dimJF,Horaires3567[[#This Row],[début]])),0)+IF(WEEKDAY(Horaires3567[[#This Row],[Date]],2)=6,MAX(0,Horaires3567[[#This Row],[Fin corrigée si nuit]]-(1+deb_dimJF)),0))*24</f>
        <v>0</v>
      </c>
      <c r="Q29" s="55">
        <f>(IF(WEEKDAY(Horaires3567[[#This Row],[Date]],2)=7,MAX(0,MIN(fin_dimJF,Horaires3567[[#This Row],[Fin corrigée si nuit]])-MAX(deb_dimJF,Horaires3567[[#This Row],[début]])),0)+IF(WEEKDAY(Horaires3567[[#This Row],[Date]],2)=6,MAX(0,Horaires3567[[#This Row],[Fin corrigée si nuit]]-(1+deb_dimJF)),0))*24-
(IF(WEEKDAY(Horaires3567[[#This Row],[Date]],2)=7,MAX(0,MIN(fin_dimJF,Horaires3567[[#This Row],[PNP Fin corrigée]])-MAX(deb_dimJF,Horaires3567[[#This Row],[PNP Début corrigé]])),0)+IF(WEEKDAY(Horaires3567[[#This Row],[Date]],2)=6,MAX(0,Horaires3567[[#This Row],[PNP Fin corrigée]]-(1+deb_dimJF)),0))*24</f>
        <v>0</v>
      </c>
      <c r="R29" s="55">
        <f>(IF(COUNTIF(JF,Horaires3567[[#This Row],[Date]]),MAX(0,MIN(fin_dimJF,Horaires3567[[#This Row],[Fin corrigée si nuit]])-MAX(deb_dimJF,Horaires3567[[#This Row],[début]])),0)+IF(COUNTIF(JF,Horaires3567[[#This Row],[Date]]+1),MAX(0,Horaires3567[[#This Row],[Fin corrigée si nuit]]-(1+deb_dimJF)),0))*24</f>
        <v>0</v>
      </c>
      <c r="S29" s="55">
        <f>(IF(COUNTIF(JF,Horaires3567[[#This Row],[Date]]),MAX(0,MIN(fin_dimJF,Horaires3567[[#This Row],[Fin corrigée si nuit]])-MAX(deb_dimJF,Horaires3567[[#This Row],[début]])),0)+IF(COUNTIF(JF,Horaires3567[[#This Row],[Date]]+1),MAX(0,Horaires3567[[#This Row],[Fin corrigée si nuit]]-(1+deb_dimJF)),0))*24-
(IF(COUNTIF(JF,Horaires3567[[#This Row],[Date]]),MAX(0,MIN(fin_dimJF,Horaires3567[[#This Row],[PNP Fin corrigée]])-MAX(deb_dimJF,Horaires3567[[#This Row],[PNP Début corrigé]])),0)+IF(COUNTIF(JF,Horaires3567[[#This Row],[Date]]+1),MAX(0,Horaires3567[[#This Row],[PNP Fin corrigée]]-(1+deb_dimJF)),0))*24</f>
        <v>0</v>
      </c>
    </row>
    <row r="30" spans="1:19" ht="14.4" customHeight="1" x14ac:dyDescent="0.35">
      <c r="A30" s="5"/>
      <c r="B30" s="1"/>
      <c r="C30" s="2"/>
      <c r="D30" s="2"/>
      <c r="E30" s="3"/>
      <c r="F30" s="3"/>
      <c r="G30" s="3"/>
      <c r="H30" s="3"/>
      <c r="I30" s="51">
        <f>0.1*(Horaires3567[[#This Row],[Heures de nuit]]+Horaires3567[[#This Row],[heures jour dimanche]]+Horaires3567[[#This Row],[heures jour fériés]])</f>
        <v>0</v>
      </c>
      <c r="J30" s="52">
        <f>(MOD(Horaires3567[[#This Row],[Fin]]-Horaires3567[[#This Row],[début]],1)-MOD(Horaires3567[[#This Row],[PNP Fin]]-Horaires3567[[#This Row],[PNP Début]],1))*24</f>
        <v>0</v>
      </c>
      <c r="K30" s="53">
        <f>IF(Horaires3567[[#This Row],[PNP Début]]=0,0,IF(Horaires3567[[#This Row],[PNP Début]]&lt;Horaires3567[[#This Row],[début]],1,0)+Horaires3567[[#This Row],[PNP Début]])</f>
        <v>0</v>
      </c>
      <c r="L30" s="54">
        <f>IF(Horaires3567[[#This Row],[PNP Fin]]=0,0,IF(Horaires3567[[#This Row],[PNP Fin]]&lt;Horaires3567[[#This Row],[début]],1,0)+Horaires3567[[#This Row],[PNP Fin]])</f>
        <v>0</v>
      </c>
      <c r="M30" s="54">
        <f>IF(Horaires3567[[#This Row],[Fin]]&lt;Horaires3567[[#This Row],[début]],1,0)+Horaires3567[[#This Row],[Fin]]</f>
        <v>0</v>
      </c>
      <c r="N30" s="35">
        <f>IF(Horaires3567[[#This Row],[Fin]]&lt;Horaires3567[[#This Row],[début]],MAX(0,MIN(Horaires3567[[#This Row],[Fin corrigée si nuit]],fin_nuit)-MAX(Horaires3567[[#This Row],[début]],deb_nuit))*24,(MAX(deb_nuit,Horaires3567[[#This Row],[Fin]])-MAX(deb_nuit,Horaires3567[[#This Row],[début]])+MAX(MIN(fin_nuit-1,Horaires3567[[#This Row],[Fin]])-MIN(fin_nuit-1,Horaires3567[[#This Row],[début]]),0))*24)</f>
        <v>0</v>
      </c>
      <c r="O30" s="55">
        <f>(MAX(0,MIN(Horaires3567[[#This Row],[Fin corrigée si nuit]],fin_nuit)-MAX(Horaires3567[[#This Row],[début]],deb_nuit))-IF(Horaires3567[[#This Row],[PNP Début]]=0,0,MIN(Horaires3567[[#This Row],[PNP Fin corrigée]],fin_nuit)-MAX(Horaires3567[[#This Row],[PNP Début corrigé]],deb_nuit)))*24</f>
        <v>0</v>
      </c>
      <c r="P30" s="55">
        <f>(IF(WEEKDAY(Horaires3567[[#This Row],[Date]],2)=7,MAX(0,MIN(fin_dimJF,Horaires3567[[#This Row],[Fin corrigée si nuit]])-MAX(deb_dimJF,Horaires3567[[#This Row],[début]])),0)+IF(WEEKDAY(Horaires3567[[#This Row],[Date]],2)=6,MAX(0,Horaires3567[[#This Row],[Fin corrigée si nuit]]-(1+deb_dimJF)),0))*24</f>
        <v>0</v>
      </c>
      <c r="Q30" s="55">
        <f>(IF(WEEKDAY(Horaires3567[[#This Row],[Date]],2)=7,MAX(0,MIN(fin_dimJF,Horaires3567[[#This Row],[Fin corrigée si nuit]])-MAX(deb_dimJF,Horaires3567[[#This Row],[début]])),0)+IF(WEEKDAY(Horaires3567[[#This Row],[Date]],2)=6,MAX(0,Horaires3567[[#This Row],[Fin corrigée si nuit]]-(1+deb_dimJF)),0))*24-
(IF(WEEKDAY(Horaires3567[[#This Row],[Date]],2)=7,MAX(0,MIN(fin_dimJF,Horaires3567[[#This Row],[PNP Fin corrigée]])-MAX(deb_dimJF,Horaires3567[[#This Row],[PNP Début corrigé]])),0)+IF(WEEKDAY(Horaires3567[[#This Row],[Date]],2)=6,MAX(0,Horaires3567[[#This Row],[PNP Fin corrigée]]-(1+deb_dimJF)),0))*24</f>
        <v>0</v>
      </c>
      <c r="R30" s="55">
        <f>(IF(COUNTIF(JF,Horaires3567[[#This Row],[Date]]),MAX(0,MIN(fin_dimJF,Horaires3567[[#This Row],[Fin corrigée si nuit]])-MAX(deb_dimJF,Horaires3567[[#This Row],[début]])),0)+IF(COUNTIF(JF,Horaires3567[[#This Row],[Date]]+1),MAX(0,Horaires3567[[#This Row],[Fin corrigée si nuit]]-(1+deb_dimJF)),0))*24</f>
        <v>0</v>
      </c>
      <c r="S30" s="55">
        <f>(IF(COUNTIF(JF,Horaires3567[[#This Row],[Date]]),MAX(0,MIN(fin_dimJF,Horaires3567[[#This Row],[Fin corrigée si nuit]])-MAX(deb_dimJF,Horaires3567[[#This Row],[début]])),0)+IF(COUNTIF(JF,Horaires3567[[#This Row],[Date]]+1),MAX(0,Horaires3567[[#This Row],[Fin corrigée si nuit]]-(1+deb_dimJF)),0))*24-
(IF(COUNTIF(JF,Horaires3567[[#This Row],[Date]]),MAX(0,MIN(fin_dimJF,Horaires3567[[#This Row],[PNP Fin corrigée]])-MAX(deb_dimJF,Horaires3567[[#This Row],[PNP Début corrigé]])),0)+IF(COUNTIF(JF,Horaires3567[[#This Row],[Date]]+1),MAX(0,Horaires3567[[#This Row],[PNP Fin corrigée]]-(1+deb_dimJF)),0))*24</f>
        <v>0</v>
      </c>
    </row>
    <row r="31" spans="1:19" x14ac:dyDescent="0.35">
      <c r="A31" s="5"/>
      <c r="B31" s="1"/>
      <c r="C31" s="2"/>
      <c r="D31" s="2"/>
      <c r="E31" s="3"/>
      <c r="F31" s="3"/>
      <c r="G31" s="3"/>
      <c r="H31" s="3"/>
      <c r="I31" s="51">
        <f>0.1*(Horaires3567[[#This Row],[Heures de nuit]]+Horaires3567[[#This Row],[heures jour dimanche]]+Horaires3567[[#This Row],[heures jour fériés]])</f>
        <v>0</v>
      </c>
      <c r="J31" s="52">
        <f>(MOD(Horaires3567[[#This Row],[Fin]]-Horaires3567[[#This Row],[début]],1)-MOD(Horaires3567[[#This Row],[PNP Fin]]-Horaires3567[[#This Row],[PNP Début]],1))*24</f>
        <v>0</v>
      </c>
      <c r="K31" s="53">
        <f>IF(Horaires3567[[#This Row],[PNP Début]]=0,0,IF(Horaires3567[[#This Row],[PNP Début]]&lt;Horaires3567[[#This Row],[début]],1,0)+Horaires3567[[#This Row],[PNP Début]])</f>
        <v>0</v>
      </c>
      <c r="L31" s="54">
        <f>IF(Horaires3567[[#This Row],[PNP Fin]]=0,0,IF(Horaires3567[[#This Row],[PNP Fin]]&lt;Horaires3567[[#This Row],[début]],1,0)+Horaires3567[[#This Row],[PNP Fin]])</f>
        <v>0</v>
      </c>
      <c r="M31" s="54">
        <f>IF(Horaires3567[[#This Row],[Fin]]&lt;Horaires3567[[#This Row],[début]],1,0)+Horaires3567[[#This Row],[Fin]]</f>
        <v>0</v>
      </c>
      <c r="N31" s="35">
        <f>IF(Horaires3567[[#This Row],[Fin]]&lt;Horaires3567[[#This Row],[début]],MAX(0,MIN(Horaires3567[[#This Row],[Fin corrigée si nuit]],fin_nuit)-MAX(Horaires3567[[#This Row],[début]],deb_nuit))*24,(MAX(deb_nuit,Horaires3567[[#This Row],[Fin]])-MAX(deb_nuit,Horaires3567[[#This Row],[début]])+MAX(MIN(fin_nuit-1,Horaires3567[[#This Row],[Fin]])-MIN(fin_nuit-1,Horaires3567[[#This Row],[début]]),0))*24)</f>
        <v>0</v>
      </c>
      <c r="O31" s="55">
        <f>(MAX(0,MIN(Horaires3567[[#This Row],[Fin corrigée si nuit]],fin_nuit)-MAX(Horaires3567[[#This Row],[début]],deb_nuit))-IF(Horaires3567[[#This Row],[PNP Début]]=0,0,MIN(Horaires3567[[#This Row],[PNP Fin corrigée]],fin_nuit)-MAX(Horaires3567[[#This Row],[PNP Début corrigé]],deb_nuit)))*24</f>
        <v>0</v>
      </c>
      <c r="P31" s="55">
        <f>(IF(WEEKDAY(Horaires3567[[#This Row],[Date]],2)=7,MAX(0,MIN(fin_dimJF,Horaires3567[[#This Row],[Fin corrigée si nuit]])-MAX(deb_dimJF,Horaires3567[[#This Row],[début]])),0)+IF(WEEKDAY(Horaires3567[[#This Row],[Date]],2)=6,MAX(0,Horaires3567[[#This Row],[Fin corrigée si nuit]]-(1+deb_dimJF)),0))*24</f>
        <v>0</v>
      </c>
      <c r="Q31" s="55">
        <f>(IF(WEEKDAY(Horaires3567[[#This Row],[Date]],2)=7,MAX(0,MIN(fin_dimJF,Horaires3567[[#This Row],[Fin corrigée si nuit]])-MAX(deb_dimJF,Horaires3567[[#This Row],[début]])),0)+IF(WEEKDAY(Horaires3567[[#This Row],[Date]],2)=6,MAX(0,Horaires3567[[#This Row],[Fin corrigée si nuit]]-(1+deb_dimJF)),0))*24-
(IF(WEEKDAY(Horaires3567[[#This Row],[Date]],2)=7,MAX(0,MIN(fin_dimJF,Horaires3567[[#This Row],[PNP Fin corrigée]])-MAX(deb_dimJF,Horaires3567[[#This Row],[PNP Début corrigé]])),0)+IF(WEEKDAY(Horaires3567[[#This Row],[Date]],2)=6,MAX(0,Horaires3567[[#This Row],[PNP Fin corrigée]]-(1+deb_dimJF)),0))*24</f>
        <v>0</v>
      </c>
      <c r="R31" s="55">
        <f>(IF(COUNTIF(JF,Horaires3567[[#This Row],[Date]]),MAX(0,MIN(fin_dimJF,Horaires3567[[#This Row],[Fin corrigée si nuit]])-MAX(deb_dimJF,Horaires3567[[#This Row],[début]])),0)+IF(COUNTIF(JF,Horaires3567[[#This Row],[Date]]+1),MAX(0,Horaires3567[[#This Row],[Fin corrigée si nuit]]-(1+deb_dimJF)),0))*24</f>
        <v>0</v>
      </c>
      <c r="S31" s="55">
        <f>(IF(COUNTIF(JF,Horaires3567[[#This Row],[Date]]),MAX(0,MIN(fin_dimJF,Horaires3567[[#This Row],[Fin corrigée si nuit]])-MAX(deb_dimJF,Horaires3567[[#This Row],[début]])),0)+IF(COUNTIF(JF,Horaires3567[[#This Row],[Date]]+1),MAX(0,Horaires3567[[#This Row],[Fin corrigée si nuit]]-(1+deb_dimJF)),0))*24-
(IF(COUNTIF(JF,Horaires3567[[#This Row],[Date]]),MAX(0,MIN(fin_dimJF,Horaires3567[[#This Row],[PNP Fin corrigée]])-MAX(deb_dimJF,Horaires3567[[#This Row],[PNP Début corrigé]])),0)+IF(COUNTIF(JF,Horaires3567[[#This Row],[Date]]+1),MAX(0,Horaires3567[[#This Row],[PNP Fin corrigée]]-(1+deb_dimJF)),0))*24</f>
        <v>0</v>
      </c>
    </row>
    <row r="32" spans="1:19" ht="14.5" customHeight="1" x14ac:dyDescent="0.35">
      <c r="A32" s="5"/>
      <c r="B32" s="1"/>
      <c r="C32" s="2"/>
      <c r="D32" s="2"/>
      <c r="E32" s="3"/>
      <c r="F32" s="3"/>
      <c r="G32" s="3"/>
      <c r="H32" s="3"/>
      <c r="I32" s="51">
        <f>0.1*(Horaires3567[[#This Row],[Heures de nuit]]+Horaires3567[[#This Row],[heures jour dimanche]]+Horaires3567[[#This Row],[heures jour fériés]])</f>
        <v>0</v>
      </c>
      <c r="J32" s="52">
        <f>(MOD(Horaires3567[[#This Row],[Fin]]-Horaires3567[[#This Row],[début]],1)-MOD(Horaires3567[[#This Row],[PNP Fin]]-Horaires3567[[#This Row],[PNP Début]],1))*24</f>
        <v>0</v>
      </c>
      <c r="K32" s="53">
        <f>IF(Horaires3567[[#This Row],[PNP Début]]=0,0,IF(Horaires3567[[#This Row],[PNP Début]]&lt;Horaires3567[[#This Row],[début]],1,0)+Horaires3567[[#This Row],[PNP Début]])</f>
        <v>0</v>
      </c>
      <c r="L32" s="54">
        <f>IF(Horaires3567[[#This Row],[PNP Fin]]=0,0,IF(Horaires3567[[#This Row],[PNP Fin]]&lt;Horaires3567[[#This Row],[début]],1,0)+Horaires3567[[#This Row],[PNP Fin]])</f>
        <v>0</v>
      </c>
      <c r="M32" s="54">
        <f>IF(Horaires3567[[#This Row],[Fin]]&lt;Horaires3567[[#This Row],[début]],1,0)+Horaires3567[[#This Row],[Fin]]</f>
        <v>0</v>
      </c>
      <c r="N32" s="35">
        <f>IF(Horaires3567[[#This Row],[Fin]]&lt;Horaires3567[[#This Row],[début]],MAX(0,MIN(Horaires3567[[#This Row],[Fin corrigée si nuit]],fin_nuit)-MAX(Horaires3567[[#This Row],[début]],deb_nuit))*24,(MAX(deb_nuit,Horaires3567[[#This Row],[Fin]])-MAX(deb_nuit,Horaires3567[[#This Row],[début]])+MAX(MIN(fin_nuit-1,Horaires3567[[#This Row],[Fin]])-MIN(fin_nuit-1,Horaires3567[[#This Row],[début]]),0))*24)</f>
        <v>0</v>
      </c>
      <c r="O32" s="55">
        <f>(MAX(0,MIN(Horaires3567[[#This Row],[Fin corrigée si nuit]],fin_nuit)-MAX(Horaires3567[[#This Row],[début]],deb_nuit))-IF(Horaires3567[[#This Row],[PNP Début]]=0,0,MIN(Horaires3567[[#This Row],[PNP Fin corrigée]],fin_nuit)-MAX(Horaires3567[[#This Row],[PNP Début corrigé]],deb_nuit)))*24</f>
        <v>0</v>
      </c>
      <c r="P32" s="55">
        <f>(IF(WEEKDAY(Horaires3567[[#This Row],[Date]],2)=7,MAX(0,MIN(fin_dimJF,Horaires3567[[#This Row],[Fin corrigée si nuit]])-MAX(deb_dimJF,Horaires3567[[#This Row],[début]])),0)+IF(WEEKDAY(Horaires3567[[#This Row],[Date]],2)=6,MAX(0,Horaires3567[[#This Row],[Fin corrigée si nuit]]-(1+deb_dimJF)),0))*24</f>
        <v>0</v>
      </c>
      <c r="Q32" s="55">
        <f>(IF(WEEKDAY(Horaires3567[[#This Row],[Date]],2)=7,MAX(0,MIN(fin_dimJF,Horaires3567[[#This Row],[Fin corrigée si nuit]])-MAX(deb_dimJF,Horaires3567[[#This Row],[début]])),0)+IF(WEEKDAY(Horaires3567[[#This Row],[Date]],2)=6,MAX(0,Horaires3567[[#This Row],[Fin corrigée si nuit]]-(1+deb_dimJF)),0))*24-
(IF(WEEKDAY(Horaires3567[[#This Row],[Date]],2)=7,MAX(0,MIN(fin_dimJF,Horaires3567[[#This Row],[PNP Fin corrigée]])-MAX(deb_dimJF,Horaires3567[[#This Row],[PNP Début corrigé]])),0)+IF(WEEKDAY(Horaires3567[[#This Row],[Date]],2)=6,MAX(0,Horaires3567[[#This Row],[PNP Fin corrigée]]-(1+deb_dimJF)),0))*24</f>
        <v>0</v>
      </c>
      <c r="R32" s="55">
        <f>(IF(COUNTIF(JF,Horaires3567[[#This Row],[Date]]),MAX(0,MIN(fin_dimJF,Horaires3567[[#This Row],[Fin corrigée si nuit]])-MAX(deb_dimJF,Horaires3567[[#This Row],[début]])),0)+IF(COUNTIF(JF,Horaires3567[[#This Row],[Date]]+1),MAX(0,Horaires3567[[#This Row],[Fin corrigée si nuit]]-(1+deb_dimJF)),0))*24</f>
        <v>0</v>
      </c>
      <c r="S32" s="55">
        <f>(IF(COUNTIF(JF,Horaires3567[[#This Row],[Date]]),MAX(0,MIN(fin_dimJF,Horaires3567[[#This Row],[Fin corrigée si nuit]])-MAX(deb_dimJF,Horaires3567[[#This Row],[début]])),0)+IF(COUNTIF(JF,Horaires3567[[#This Row],[Date]]+1),MAX(0,Horaires3567[[#This Row],[Fin corrigée si nuit]]-(1+deb_dimJF)),0))*24-
(IF(COUNTIF(JF,Horaires3567[[#This Row],[Date]]),MAX(0,MIN(fin_dimJF,Horaires3567[[#This Row],[PNP Fin corrigée]])-MAX(deb_dimJF,Horaires3567[[#This Row],[PNP Début corrigé]])),0)+IF(COUNTIF(JF,Horaires3567[[#This Row],[Date]]+1),MAX(0,Horaires3567[[#This Row],[PNP Fin corrigée]]-(1+deb_dimJF)),0))*24</f>
        <v>0</v>
      </c>
    </row>
    <row r="33" spans="1:19" x14ac:dyDescent="0.35">
      <c r="A33" s="5"/>
      <c r="B33" s="1"/>
      <c r="C33" s="2"/>
      <c r="D33" s="2"/>
      <c r="E33" s="3"/>
      <c r="F33" s="3"/>
      <c r="G33" s="3"/>
      <c r="H33" s="3"/>
      <c r="I33" s="51">
        <f>0.1*(Horaires3567[[#This Row],[Heures de nuit]]+Horaires3567[[#This Row],[heures jour dimanche]]+Horaires3567[[#This Row],[heures jour fériés]])</f>
        <v>0</v>
      </c>
      <c r="J33" s="52">
        <f>(MOD(Horaires3567[[#This Row],[Fin]]-Horaires3567[[#This Row],[début]],1)-MOD(Horaires3567[[#This Row],[PNP Fin]]-Horaires3567[[#This Row],[PNP Début]],1))*24</f>
        <v>0</v>
      </c>
      <c r="K33" s="53">
        <f>IF(Horaires3567[[#This Row],[PNP Début]]=0,0,IF(Horaires3567[[#This Row],[PNP Début]]&lt;Horaires3567[[#This Row],[début]],1,0)+Horaires3567[[#This Row],[PNP Début]])</f>
        <v>0</v>
      </c>
      <c r="L33" s="54">
        <f>IF(Horaires3567[[#This Row],[PNP Fin]]=0,0,IF(Horaires3567[[#This Row],[PNP Fin]]&lt;Horaires3567[[#This Row],[début]],1,0)+Horaires3567[[#This Row],[PNP Fin]])</f>
        <v>0</v>
      </c>
      <c r="M33" s="54">
        <f>IF(Horaires3567[[#This Row],[Fin]]&lt;Horaires3567[[#This Row],[début]],1,0)+Horaires3567[[#This Row],[Fin]]</f>
        <v>0</v>
      </c>
      <c r="N33" s="35">
        <f>IF(Horaires3567[[#This Row],[Fin]]&lt;Horaires3567[[#This Row],[début]],MAX(0,MIN(Horaires3567[[#This Row],[Fin corrigée si nuit]],fin_nuit)-MAX(Horaires3567[[#This Row],[début]],deb_nuit))*24,(MAX(deb_nuit,Horaires3567[[#This Row],[Fin]])-MAX(deb_nuit,Horaires3567[[#This Row],[début]])+MAX(MIN(fin_nuit-1,Horaires3567[[#This Row],[Fin]])-MIN(fin_nuit-1,Horaires3567[[#This Row],[début]]),0))*24)</f>
        <v>0</v>
      </c>
      <c r="O33" s="55">
        <f>(MAX(0,MIN(Horaires3567[[#This Row],[Fin corrigée si nuit]],fin_nuit)-MAX(Horaires3567[[#This Row],[début]],deb_nuit))-IF(Horaires3567[[#This Row],[PNP Début]]=0,0,MIN(Horaires3567[[#This Row],[PNP Fin corrigée]],fin_nuit)-MAX(Horaires3567[[#This Row],[PNP Début corrigé]],deb_nuit)))*24</f>
        <v>0</v>
      </c>
      <c r="P33" s="55">
        <f>(IF(WEEKDAY(Horaires3567[[#This Row],[Date]],2)=7,MAX(0,MIN(fin_dimJF,Horaires3567[[#This Row],[Fin corrigée si nuit]])-MAX(deb_dimJF,Horaires3567[[#This Row],[début]])),0)+IF(WEEKDAY(Horaires3567[[#This Row],[Date]],2)=6,MAX(0,Horaires3567[[#This Row],[Fin corrigée si nuit]]-(1+deb_dimJF)),0))*24</f>
        <v>0</v>
      </c>
      <c r="Q33" s="55">
        <f>(IF(WEEKDAY(Horaires3567[[#This Row],[Date]],2)=7,MAX(0,MIN(fin_dimJF,Horaires3567[[#This Row],[Fin corrigée si nuit]])-MAX(deb_dimJF,Horaires3567[[#This Row],[début]])),0)+IF(WEEKDAY(Horaires3567[[#This Row],[Date]],2)=6,MAX(0,Horaires3567[[#This Row],[Fin corrigée si nuit]]-(1+deb_dimJF)),0))*24-
(IF(WEEKDAY(Horaires3567[[#This Row],[Date]],2)=7,MAX(0,MIN(fin_dimJF,Horaires3567[[#This Row],[PNP Fin corrigée]])-MAX(deb_dimJF,Horaires3567[[#This Row],[PNP Début corrigé]])),0)+IF(WEEKDAY(Horaires3567[[#This Row],[Date]],2)=6,MAX(0,Horaires3567[[#This Row],[PNP Fin corrigée]]-(1+deb_dimJF)),0))*24</f>
        <v>0</v>
      </c>
      <c r="R33" s="55">
        <f>(IF(COUNTIF(JF,Horaires3567[[#This Row],[Date]]),MAX(0,MIN(fin_dimJF,Horaires3567[[#This Row],[Fin corrigée si nuit]])-MAX(deb_dimJF,Horaires3567[[#This Row],[début]])),0)+IF(COUNTIF(JF,Horaires3567[[#This Row],[Date]]+1),MAX(0,Horaires3567[[#This Row],[Fin corrigée si nuit]]-(1+deb_dimJF)),0))*24</f>
        <v>0</v>
      </c>
      <c r="S33" s="55">
        <f>(IF(COUNTIF(JF,Horaires3567[[#This Row],[Date]]),MAX(0,MIN(fin_dimJF,Horaires3567[[#This Row],[Fin corrigée si nuit]])-MAX(deb_dimJF,Horaires3567[[#This Row],[début]])),0)+IF(COUNTIF(JF,Horaires3567[[#This Row],[Date]]+1),MAX(0,Horaires3567[[#This Row],[Fin corrigée si nuit]]-(1+deb_dimJF)),0))*24-
(IF(COUNTIF(JF,Horaires3567[[#This Row],[Date]]),MAX(0,MIN(fin_dimJF,Horaires3567[[#This Row],[PNP Fin corrigée]])-MAX(deb_dimJF,Horaires3567[[#This Row],[PNP Début corrigé]])),0)+IF(COUNTIF(JF,Horaires3567[[#This Row],[Date]]+1),MAX(0,Horaires3567[[#This Row],[PNP Fin corrigée]]-(1+deb_dimJF)),0))*24</f>
        <v>0</v>
      </c>
    </row>
    <row r="34" spans="1:19" x14ac:dyDescent="0.35">
      <c r="A34" s="5"/>
      <c r="B34" s="1"/>
      <c r="C34" s="2"/>
      <c r="D34" s="2"/>
      <c r="E34" s="3"/>
      <c r="F34" s="3"/>
      <c r="G34" s="3"/>
      <c r="H34" s="3"/>
      <c r="I34" s="51">
        <f>0.1*(Horaires3567[[#This Row],[Heures de nuit]]+Horaires3567[[#This Row],[heures jour dimanche]]+Horaires3567[[#This Row],[heures jour fériés]])</f>
        <v>0</v>
      </c>
      <c r="J34" s="52">
        <f>(MOD(Horaires3567[[#This Row],[Fin]]-Horaires3567[[#This Row],[début]],1)-MOD(Horaires3567[[#This Row],[PNP Fin]]-Horaires3567[[#This Row],[PNP Début]],1))*24</f>
        <v>0</v>
      </c>
      <c r="K34" s="53">
        <f>IF(Horaires3567[[#This Row],[PNP Début]]=0,0,IF(Horaires3567[[#This Row],[PNP Début]]&lt;Horaires3567[[#This Row],[début]],1,0)+Horaires3567[[#This Row],[PNP Début]])</f>
        <v>0</v>
      </c>
      <c r="L34" s="54">
        <f>IF(Horaires3567[[#This Row],[PNP Fin]]=0,0,IF(Horaires3567[[#This Row],[PNP Fin]]&lt;Horaires3567[[#This Row],[début]],1,0)+Horaires3567[[#This Row],[PNP Fin]])</f>
        <v>0</v>
      </c>
      <c r="M34" s="54">
        <f>IF(Horaires3567[[#This Row],[Fin]]&lt;Horaires3567[[#This Row],[début]],1,0)+Horaires3567[[#This Row],[Fin]]</f>
        <v>0</v>
      </c>
      <c r="N34" s="35">
        <f>IF(Horaires3567[[#This Row],[Fin]]&lt;Horaires3567[[#This Row],[début]],MAX(0,MIN(Horaires3567[[#This Row],[Fin corrigée si nuit]],fin_nuit)-MAX(Horaires3567[[#This Row],[début]],deb_nuit))*24,(MAX(deb_nuit,Horaires3567[[#This Row],[Fin]])-MAX(deb_nuit,Horaires3567[[#This Row],[début]])+MAX(MIN(fin_nuit-1,Horaires3567[[#This Row],[Fin]])-MIN(fin_nuit-1,Horaires3567[[#This Row],[début]]),0))*24)</f>
        <v>0</v>
      </c>
      <c r="O34" s="55">
        <f>(MAX(0,MIN(Horaires3567[[#This Row],[Fin corrigée si nuit]],fin_nuit)-MAX(Horaires3567[[#This Row],[début]],deb_nuit))-IF(Horaires3567[[#This Row],[PNP Début]]=0,0,MIN(Horaires3567[[#This Row],[PNP Fin corrigée]],fin_nuit)-MAX(Horaires3567[[#This Row],[PNP Début corrigé]],deb_nuit)))*24</f>
        <v>0</v>
      </c>
      <c r="P34" s="55">
        <f>(IF(WEEKDAY(Horaires3567[[#This Row],[Date]],2)=7,MAX(0,MIN(fin_dimJF,Horaires3567[[#This Row],[Fin corrigée si nuit]])-MAX(deb_dimJF,Horaires3567[[#This Row],[début]])),0)+IF(WEEKDAY(Horaires3567[[#This Row],[Date]],2)=6,MAX(0,Horaires3567[[#This Row],[Fin corrigée si nuit]]-(1+deb_dimJF)),0))*24</f>
        <v>0</v>
      </c>
      <c r="Q34" s="55">
        <f>(IF(WEEKDAY(Horaires3567[[#This Row],[Date]],2)=7,MAX(0,MIN(fin_dimJF,Horaires3567[[#This Row],[Fin corrigée si nuit]])-MAX(deb_dimJF,Horaires3567[[#This Row],[début]])),0)+IF(WEEKDAY(Horaires3567[[#This Row],[Date]],2)=6,MAX(0,Horaires3567[[#This Row],[Fin corrigée si nuit]]-(1+deb_dimJF)),0))*24-
(IF(WEEKDAY(Horaires3567[[#This Row],[Date]],2)=7,MAX(0,MIN(fin_dimJF,Horaires3567[[#This Row],[PNP Fin corrigée]])-MAX(deb_dimJF,Horaires3567[[#This Row],[PNP Début corrigé]])),0)+IF(WEEKDAY(Horaires3567[[#This Row],[Date]],2)=6,MAX(0,Horaires3567[[#This Row],[PNP Fin corrigée]]-(1+deb_dimJF)),0))*24</f>
        <v>0</v>
      </c>
      <c r="R34" s="55">
        <f>(IF(COUNTIF(JF,Horaires3567[[#This Row],[Date]]),MAX(0,MIN(fin_dimJF,Horaires3567[[#This Row],[Fin corrigée si nuit]])-MAX(deb_dimJF,Horaires3567[[#This Row],[début]])),0)+IF(COUNTIF(JF,Horaires3567[[#This Row],[Date]]+1),MAX(0,Horaires3567[[#This Row],[Fin corrigée si nuit]]-(1+deb_dimJF)),0))*24</f>
        <v>0</v>
      </c>
      <c r="S34" s="55">
        <f>(IF(COUNTIF(JF,Horaires3567[[#This Row],[Date]]),MAX(0,MIN(fin_dimJF,Horaires3567[[#This Row],[Fin corrigée si nuit]])-MAX(deb_dimJF,Horaires3567[[#This Row],[début]])),0)+IF(COUNTIF(JF,Horaires3567[[#This Row],[Date]]+1),MAX(0,Horaires3567[[#This Row],[Fin corrigée si nuit]]-(1+deb_dimJF)),0))*24-
(IF(COUNTIF(JF,Horaires3567[[#This Row],[Date]]),MAX(0,MIN(fin_dimJF,Horaires3567[[#This Row],[PNP Fin corrigée]])-MAX(deb_dimJF,Horaires3567[[#This Row],[PNP Début corrigé]])),0)+IF(COUNTIF(JF,Horaires3567[[#This Row],[Date]]+1),MAX(0,Horaires3567[[#This Row],[PNP Fin corrigée]]-(1+deb_dimJF)),0))*24</f>
        <v>0</v>
      </c>
    </row>
    <row r="35" spans="1:19" x14ac:dyDescent="0.35">
      <c r="A35" s="5"/>
      <c r="B35" s="1"/>
      <c r="C35" s="2"/>
      <c r="D35" s="2"/>
      <c r="E35" s="3"/>
      <c r="F35" s="3"/>
      <c r="G35" s="3"/>
      <c r="H35" s="3"/>
      <c r="I35" s="51">
        <f>0.1*(Horaires3567[[#This Row],[Heures de nuit]]+Horaires3567[[#This Row],[heures jour dimanche]]+Horaires3567[[#This Row],[heures jour fériés]])</f>
        <v>0</v>
      </c>
      <c r="J35" s="52">
        <f>(MOD(Horaires3567[[#This Row],[Fin]]-Horaires3567[[#This Row],[début]],1)-MOD(Horaires3567[[#This Row],[PNP Fin]]-Horaires3567[[#This Row],[PNP Début]],1))*24</f>
        <v>0</v>
      </c>
      <c r="K35" s="53">
        <f>IF(Horaires3567[[#This Row],[PNP Début]]=0,0,IF(Horaires3567[[#This Row],[PNP Début]]&lt;Horaires3567[[#This Row],[début]],1,0)+Horaires3567[[#This Row],[PNP Début]])</f>
        <v>0</v>
      </c>
      <c r="L35" s="54">
        <f>IF(Horaires3567[[#This Row],[PNP Fin]]=0,0,IF(Horaires3567[[#This Row],[PNP Fin]]&lt;Horaires3567[[#This Row],[début]],1,0)+Horaires3567[[#This Row],[PNP Fin]])</f>
        <v>0</v>
      </c>
      <c r="M35" s="54">
        <f>IF(Horaires3567[[#This Row],[Fin]]&lt;Horaires3567[[#This Row],[début]],1,0)+Horaires3567[[#This Row],[Fin]]</f>
        <v>0</v>
      </c>
      <c r="N35" s="35">
        <f>IF(Horaires3567[[#This Row],[Fin]]&lt;Horaires3567[[#This Row],[début]],MAX(0,MIN(Horaires3567[[#This Row],[Fin corrigée si nuit]],fin_nuit)-MAX(Horaires3567[[#This Row],[début]],deb_nuit))*24,(MAX(deb_nuit,Horaires3567[[#This Row],[Fin]])-MAX(deb_nuit,Horaires3567[[#This Row],[début]])+MAX(MIN(fin_nuit-1,Horaires3567[[#This Row],[Fin]])-MIN(fin_nuit-1,Horaires3567[[#This Row],[début]]),0))*24)</f>
        <v>0</v>
      </c>
      <c r="O35" s="55">
        <f>(MAX(0,MIN(Horaires3567[[#This Row],[Fin corrigée si nuit]],fin_nuit)-MAX(Horaires3567[[#This Row],[début]],deb_nuit))-IF(Horaires3567[[#This Row],[PNP Début]]=0,0,MIN(Horaires3567[[#This Row],[PNP Fin corrigée]],fin_nuit)-MAX(Horaires3567[[#This Row],[PNP Début corrigé]],deb_nuit)))*24</f>
        <v>0</v>
      </c>
      <c r="P35" s="55">
        <f>(IF(WEEKDAY(Horaires3567[[#This Row],[Date]],2)=7,MAX(0,MIN(fin_dimJF,Horaires3567[[#This Row],[Fin corrigée si nuit]])-MAX(deb_dimJF,Horaires3567[[#This Row],[début]])),0)+IF(WEEKDAY(Horaires3567[[#This Row],[Date]],2)=6,MAX(0,Horaires3567[[#This Row],[Fin corrigée si nuit]]-(1+deb_dimJF)),0))*24</f>
        <v>0</v>
      </c>
      <c r="Q35" s="55">
        <f>(IF(WEEKDAY(Horaires3567[[#This Row],[Date]],2)=7,MAX(0,MIN(fin_dimJF,Horaires3567[[#This Row],[Fin corrigée si nuit]])-MAX(deb_dimJF,Horaires3567[[#This Row],[début]])),0)+IF(WEEKDAY(Horaires3567[[#This Row],[Date]],2)=6,MAX(0,Horaires3567[[#This Row],[Fin corrigée si nuit]]-(1+deb_dimJF)),0))*24-
(IF(WEEKDAY(Horaires3567[[#This Row],[Date]],2)=7,MAX(0,MIN(fin_dimJF,Horaires3567[[#This Row],[PNP Fin corrigée]])-MAX(deb_dimJF,Horaires3567[[#This Row],[PNP Début corrigé]])),0)+IF(WEEKDAY(Horaires3567[[#This Row],[Date]],2)=6,MAX(0,Horaires3567[[#This Row],[PNP Fin corrigée]]-(1+deb_dimJF)),0))*24</f>
        <v>0</v>
      </c>
      <c r="R35" s="55">
        <f>(IF(COUNTIF(JF,Horaires3567[[#This Row],[Date]]),MAX(0,MIN(fin_dimJF,Horaires3567[[#This Row],[Fin corrigée si nuit]])-MAX(deb_dimJF,Horaires3567[[#This Row],[début]])),0)+IF(COUNTIF(JF,Horaires3567[[#This Row],[Date]]+1),MAX(0,Horaires3567[[#This Row],[Fin corrigée si nuit]]-(1+deb_dimJF)),0))*24</f>
        <v>0</v>
      </c>
      <c r="S35" s="55">
        <f>(IF(COUNTIF(JF,Horaires3567[[#This Row],[Date]]),MAX(0,MIN(fin_dimJF,Horaires3567[[#This Row],[Fin corrigée si nuit]])-MAX(deb_dimJF,Horaires3567[[#This Row],[début]])),0)+IF(COUNTIF(JF,Horaires3567[[#This Row],[Date]]+1),MAX(0,Horaires3567[[#This Row],[Fin corrigée si nuit]]-(1+deb_dimJF)),0))*24-
(IF(COUNTIF(JF,Horaires3567[[#This Row],[Date]]),MAX(0,MIN(fin_dimJF,Horaires3567[[#This Row],[PNP Fin corrigée]])-MAX(deb_dimJF,Horaires3567[[#This Row],[PNP Début corrigé]])),0)+IF(COUNTIF(JF,Horaires3567[[#This Row],[Date]]+1),MAX(0,Horaires3567[[#This Row],[PNP Fin corrigée]]-(1+deb_dimJF)),0))*24</f>
        <v>0</v>
      </c>
    </row>
    <row r="36" spans="1:19" x14ac:dyDescent="0.35">
      <c r="A36" s="5"/>
      <c r="B36" s="1"/>
      <c r="C36" s="2"/>
      <c r="D36" s="2"/>
      <c r="E36" s="3"/>
      <c r="F36" s="3"/>
      <c r="G36" s="3"/>
      <c r="H36" s="3"/>
      <c r="I36" s="51">
        <f>0.1*(Horaires3567[[#This Row],[Heures de nuit]]+Horaires3567[[#This Row],[heures jour dimanche]]+Horaires3567[[#This Row],[heures jour fériés]])</f>
        <v>0</v>
      </c>
      <c r="J36" s="52">
        <f>(MOD(Horaires3567[[#This Row],[Fin]]-Horaires3567[[#This Row],[début]],1)-MOD(Horaires3567[[#This Row],[PNP Fin]]-Horaires3567[[#This Row],[PNP Début]],1))*24</f>
        <v>0</v>
      </c>
      <c r="K36" s="53">
        <f>IF(Horaires3567[[#This Row],[PNP Début]]=0,0,IF(Horaires3567[[#This Row],[PNP Début]]&lt;Horaires3567[[#This Row],[début]],1,0)+Horaires3567[[#This Row],[PNP Début]])</f>
        <v>0</v>
      </c>
      <c r="L36" s="54">
        <f>IF(Horaires3567[[#This Row],[PNP Fin]]=0,0,IF(Horaires3567[[#This Row],[PNP Fin]]&lt;Horaires3567[[#This Row],[début]],1,0)+Horaires3567[[#This Row],[PNP Fin]])</f>
        <v>0</v>
      </c>
      <c r="M36" s="54">
        <f>IF(Horaires3567[[#This Row],[Fin]]&lt;Horaires3567[[#This Row],[début]],1,0)+Horaires3567[[#This Row],[Fin]]</f>
        <v>0</v>
      </c>
      <c r="N36" s="35">
        <f>IF(Horaires3567[[#This Row],[Fin]]&lt;Horaires3567[[#This Row],[début]],MAX(0,MIN(Horaires3567[[#This Row],[Fin corrigée si nuit]],fin_nuit)-MAX(Horaires3567[[#This Row],[début]],deb_nuit))*24,(MAX(deb_nuit,Horaires3567[[#This Row],[Fin]])-MAX(deb_nuit,Horaires3567[[#This Row],[début]])+MAX(MIN(fin_nuit-1,Horaires3567[[#This Row],[Fin]])-MIN(fin_nuit-1,Horaires3567[[#This Row],[début]]),0))*24)</f>
        <v>0</v>
      </c>
      <c r="O36" s="55">
        <f>(MAX(0,MIN(Horaires3567[[#This Row],[Fin corrigée si nuit]],fin_nuit)-MAX(Horaires3567[[#This Row],[début]],deb_nuit))-IF(Horaires3567[[#This Row],[PNP Début]]=0,0,MIN(Horaires3567[[#This Row],[PNP Fin corrigée]],fin_nuit)-MAX(Horaires3567[[#This Row],[PNP Début corrigé]],deb_nuit)))*24</f>
        <v>0</v>
      </c>
      <c r="P36" s="55">
        <f>(IF(WEEKDAY(Horaires3567[[#This Row],[Date]],2)=7,MAX(0,MIN(fin_dimJF,Horaires3567[[#This Row],[Fin corrigée si nuit]])-MAX(deb_dimJF,Horaires3567[[#This Row],[début]])),0)+IF(WEEKDAY(Horaires3567[[#This Row],[Date]],2)=6,MAX(0,Horaires3567[[#This Row],[Fin corrigée si nuit]]-(1+deb_dimJF)),0))*24</f>
        <v>0</v>
      </c>
      <c r="Q36" s="55">
        <f>(IF(WEEKDAY(Horaires3567[[#This Row],[Date]],2)=7,MAX(0,MIN(fin_dimJF,Horaires3567[[#This Row],[Fin corrigée si nuit]])-MAX(deb_dimJF,Horaires3567[[#This Row],[début]])),0)+IF(WEEKDAY(Horaires3567[[#This Row],[Date]],2)=6,MAX(0,Horaires3567[[#This Row],[Fin corrigée si nuit]]-(1+deb_dimJF)),0))*24-
(IF(WEEKDAY(Horaires3567[[#This Row],[Date]],2)=7,MAX(0,MIN(fin_dimJF,Horaires3567[[#This Row],[PNP Fin corrigée]])-MAX(deb_dimJF,Horaires3567[[#This Row],[PNP Début corrigé]])),0)+IF(WEEKDAY(Horaires3567[[#This Row],[Date]],2)=6,MAX(0,Horaires3567[[#This Row],[PNP Fin corrigée]]-(1+deb_dimJF)),0))*24</f>
        <v>0</v>
      </c>
      <c r="R36" s="55">
        <f>(IF(COUNTIF(JF,Horaires3567[[#This Row],[Date]]),MAX(0,MIN(fin_dimJF,Horaires3567[[#This Row],[Fin corrigée si nuit]])-MAX(deb_dimJF,Horaires3567[[#This Row],[début]])),0)+IF(COUNTIF(JF,Horaires3567[[#This Row],[Date]]+1),MAX(0,Horaires3567[[#This Row],[Fin corrigée si nuit]]-(1+deb_dimJF)),0))*24</f>
        <v>0</v>
      </c>
      <c r="S36" s="55">
        <f>(IF(COUNTIF(JF,Horaires3567[[#This Row],[Date]]),MAX(0,MIN(fin_dimJF,Horaires3567[[#This Row],[Fin corrigée si nuit]])-MAX(deb_dimJF,Horaires3567[[#This Row],[début]])),0)+IF(COUNTIF(JF,Horaires3567[[#This Row],[Date]]+1),MAX(0,Horaires3567[[#This Row],[Fin corrigée si nuit]]-(1+deb_dimJF)),0))*24-
(IF(COUNTIF(JF,Horaires3567[[#This Row],[Date]]),MAX(0,MIN(fin_dimJF,Horaires3567[[#This Row],[PNP Fin corrigée]])-MAX(deb_dimJF,Horaires3567[[#This Row],[PNP Début corrigé]])),0)+IF(COUNTIF(JF,Horaires3567[[#This Row],[Date]]+1),MAX(0,Horaires3567[[#This Row],[PNP Fin corrigée]]-(1+deb_dimJF)),0))*24</f>
        <v>0</v>
      </c>
    </row>
    <row r="37" spans="1:19" x14ac:dyDescent="0.35">
      <c r="A37" s="5"/>
      <c r="B37" s="1"/>
      <c r="C37" s="2"/>
      <c r="D37" s="2"/>
      <c r="E37" s="3"/>
      <c r="F37" s="3"/>
      <c r="G37" s="3"/>
      <c r="H37" s="3"/>
      <c r="I37" s="51">
        <f>0.1*(Horaires3567[[#This Row],[Heures de nuit]]+Horaires3567[[#This Row],[heures jour dimanche]]+Horaires3567[[#This Row],[heures jour fériés]])</f>
        <v>0</v>
      </c>
      <c r="J37" s="52">
        <f>(MOD(Horaires3567[[#This Row],[Fin]]-Horaires3567[[#This Row],[début]],1)-MOD(Horaires3567[[#This Row],[PNP Fin]]-Horaires3567[[#This Row],[PNP Début]],1))*24</f>
        <v>0</v>
      </c>
      <c r="K37" s="53">
        <f>IF(Horaires3567[[#This Row],[PNP Début]]=0,0,IF(Horaires3567[[#This Row],[PNP Début]]&lt;Horaires3567[[#This Row],[début]],1,0)+Horaires3567[[#This Row],[PNP Début]])</f>
        <v>0</v>
      </c>
      <c r="L37" s="54">
        <f>IF(Horaires3567[[#This Row],[PNP Fin]]=0,0,IF(Horaires3567[[#This Row],[PNP Fin]]&lt;Horaires3567[[#This Row],[début]],1,0)+Horaires3567[[#This Row],[PNP Fin]])</f>
        <v>0</v>
      </c>
      <c r="M37" s="54">
        <f>IF(Horaires3567[[#This Row],[Fin]]&lt;Horaires3567[[#This Row],[début]],1,0)+Horaires3567[[#This Row],[Fin]]</f>
        <v>0</v>
      </c>
      <c r="N37" s="35">
        <f>IF(Horaires3567[[#This Row],[Fin]]&lt;Horaires3567[[#This Row],[début]],MAX(0,MIN(Horaires3567[[#This Row],[Fin corrigée si nuit]],fin_nuit)-MAX(Horaires3567[[#This Row],[début]],deb_nuit))*24,(MAX(deb_nuit,Horaires3567[[#This Row],[Fin]])-MAX(deb_nuit,Horaires3567[[#This Row],[début]])+MAX(MIN(fin_nuit-1,Horaires3567[[#This Row],[Fin]])-MIN(fin_nuit-1,Horaires3567[[#This Row],[début]]),0))*24)</f>
        <v>0</v>
      </c>
      <c r="O37" s="55">
        <f>(MAX(0,MIN(Horaires3567[[#This Row],[Fin corrigée si nuit]],fin_nuit)-MAX(Horaires3567[[#This Row],[début]],deb_nuit))-IF(Horaires3567[[#This Row],[PNP Début]]=0,0,MIN(Horaires3567[[#This Row],[PNP Fin corrigée]],fin_nuit)-MAX(Horaires3567[[#This Row],[PNP Début corrigé]],deb_nuit)))*24</f>
        <v>0</v>
      </c>
      <c r="P37" s="55">
        <f>(IF(WEEKDAY(Horaires3567[[#This Row],[Date]],2)=7,MAX(0,MIN(fin_dimJF,Horaires3567[[#This Row],[Fin corrigée si nuit]])-MAX(deb_dimJF,Horaires3567[[#This Row],[début]])),0)+IF(WEEKDAY(Horaires3567[[#This Row],[Date]],2)=6,MAX(0,Horaires3567[[#This Row],[Fin corrigée si nuit]]-(1+deb_dimJF)),0))*24</f>
        <v>0</v>
      </c>
      <c r="Q37" s="55">
        <f>(IF(WEEKDAY(Horaires3567[[#This Row],[Date]],2)=7,MAX(0,MIN(fin_dimJF,Horaires3567[[#This Row],[Fin corrigée si nuit]])-MAX(deb_dimJF,Horaires3567[[#This Row],[début]])),0)+IF(WEEKDAY(Horaires3567[[#This Row],[Date]],2)=6,MAX(0,Horaires3567[[#This Row],[Fin corrigée si nuit]]-(1+deb_dimJF)),0))*24-
(IF(WEEKDAY(Horaires3567[[#This Row],[Date]],2)=7,MAX(0,MIN(fin_dimJF,Horaires3567[[#This Row],[PNP Fin corrigée]])-MAX(deb_dimJF,Horaires3567[[#This Row],[PNP Début corrigé]])),0)+IF(WEEKDAY(Horaires3567[[#This Row],[Date]],2)=6,MAX(0,Horaires3567[[#This Row],[PNP Fin corrigée]]-(1+deb_dimJF)),0))*24</f>
        <v>0</v>
      </c>
      <c r="R37" s="55">
        <f>(IF(COUNTIF(JF,Horaires3567[[#This Row],[Date]]),MAX(0,MIN(fin_dimJF,Horaires3567[[#This Row],[Fin corrigée si nuit]])-MAX(deb_dimJF,Horaires3567[[#This Row],[début]])),0)+IF(COUNTIF(JF,Horaires3567[[#This Row],[Date]]+1),MAX(0,Horaires3567[[#This Row],[Fin corrigée si nuit]]-(1+deb_dimJF)),0))*24</f>
        <v>0</v>
      </c>
      <c r="S37" s="55">
        <f>(IF(COUNTIF(JF,Horaires3567[[#This Row],[Date]]),MAX(0,MIN(fin_dimJF,Horaires3567[[#This Row],[Fin corrigée si nuit]])-MAX(deb_dimJF,Horaires3567[[#This Row],[début]])),0)+IF(COUNTIF(JF,Horaires3567[[#This Row],[Date]]+1),MAX(0,Horaires3567[[#This Row],[Fin corrigée si nuit]]-(1+deb_dimJF)),0))*24-
(IF(COUNTIF(JF,Horaires3567[[#This Row],[Date]]),MAX(0,MIN(fin_dimJF,Horaires3567[[#This Row],[PNP Fin corrigée]])-MAX(deb_dimJF,Horaires3567[[#This Row],[PNP Début corrigé]])),0)+IF(COUNTIF(JF,Horaires3567[[#This Row],[Date]]+1),MAX(0,Horaires3567[[#This Row],[PNP Fin corrigée]]-(1+deb_dimJF)),0))*24</f>
        <v>0</v>
      </c>
    </row>
    <row r="38" spans="1:19" x14ac:dyDescent="0.35">
      <c r="A38" s="5"/>
      <c r="B38" s="1"/>
      <c r="C38" s="2"/>
      <c r="D38" s="2"/>
      <c r="E38" s="3"/>
      <c r="F38" s="3"/>
      <c r="G38" s="3"/>
      <c r="H38" s="3"/>
      <c r="I38" s="51">
        <f>0.1*(Horaires3567[[#This Row],[Heures de nuit]]+Horaires3567[[#This Row],[heures jour dimanche]]+Horaires3567[[#This Row],[heures jour fériés]])</f>
        <v>0</v>
      </c>
      <c r="J38" s="52">
        <f>(MOD(Horaires3567[[#This Row],[Fin]]-Horaires3567[[#This Row],[début]],1)-MOD(Horaires3567[[#This Row],[PNP Fin]]-Horaires3567[[#This Row],[PNP Début]],1))*24</f>
        <v>0</v>
      </c>
      <c r="K38" s="53">
        <f>IF(Horaires3567[[#This Row],[PNP Début]]=0,0,IF(Horaires3567[[#This Row],[PNP Début]]&lt;Horaires3567[[#This Row],[début]],1,0)+Horaires3567[[#This Row],[PNP Début]])</f>
        <v>0</v>
      </c>
      <c r="L38" s="54">
        <f>IF(Horaires3567[[#This Row],[PNP Fin]]=0,0,IF(Horaires3567[[#This Row],[PNP Fin]]&lt;Horaires3567[[#This Row],[début]],1,0)+Horaires3567[[#This Row],[PNP Fin]])</f>
        <v>0</v>
      </c>
      <c r="M38" s="54">
        <f>IF(Horaires3567[[#This Row],[Fin]]&lt;Horaires3567[[#This Row],[début]],1,0)+Horaires3567[[#This Row],[Fin]]</f>
        <v>0</v>
      </c>
      <c r="N38" s="35">
        <f>IF(Horaires3567[[#This Row],[Fin]]&lt;Horaires3567[[#This Row],[début]],MAX(0,MIN(Horaires3567[[#This Row],[Fin corrigée si nuit]],fin_nuit)-MAX(Horaires3567[[#This Row],[début]],deb_nuit))*24,(MAX(deb_nuit,Horaires3567[[#This Row],[Fin]])-MAX(deb_nuit,Horaires3567[[#This Row],[début]])+MAX(MIN(fin_nuit-1,Horaires3567[[#This Row],[Fin]])-MIN(fin_nuit-1,Horaires3567[[#This Row],[début]]),0))*24)</f>
        <v>0</v>
      </c>
      <c r="O38" s="55">
        <f>(MAX(0,MIN(Horaires3567[[#This Row],[Fin corrigée si nuit]],fin_nuit)-MAX(Horaires3567[[#This Row],[début]],deb_nuit))-IF(Horaires3567[[#This Row],[PNP Début]]=0,0,MIN(Horaires3567[[#This Row],[PNP Fin corrigée]],fin_nuit)-MAX(Horaires3567[[#This Row],[PNP Début corrigé]],deb_nuit)))*24</f>
        <v>0</v>
      </c>
      <c r="P38" s="55">
        <f>(IF(WEEKDAY(Horaires3567[[#This Row],[Date]],2)=7,MAX(0,MIN(fin_dimJF,Horaires3567[[#This Row],[Fin corrigée si nuit]])-MAX(deb_dimJF,Horaires3567[[#This Row],[début]])),0)+IF(WEEKDAY(Horaires3567[[#This Row],[Date]],2)=6,MAX(0,Horaires3567[[#This Row],[Fin corrigée si nuit]]-(1+deb_dimJF)),0))*24</f>
        <v>0</v>
      </c>
      <c r="Q38" s="55">
        <f>(IF(WEEKDAY(Horaires3567[[#This Row],[Date]],2)=7,MAX(0,MIN(fin_dimJF,Horaires3567[[#This Row],[Fin corrigée si nuit]])-MAX(deb_dimJF,Horaires3567[[#This Row],[début]])),0)+IF(WEEKDAY(Horaires3567[[#This Row],[Date]],2)=6,MAX(0,Horaires3567[[#This Row],[Fin corrigée si nuit]]-(1+deb_dimJF)),0))*24-
(IF(WEEKDAY(Horaires3567[[#This Row],[Date]],2)=7,MAX(0,MIN(fin_dimJF,Horaires3567[[#This Row],[PNP Fin corrigée]])-MAX(deb_dimJF,Horaires3567[[#This Row],[PNP Début corrigé]])),0)+IF(WEEKDAY(Horaires3567[[#This Row],[Date]],2)=6,MAX(0,Horaires3567[[#This Row],[PNP Fin corrigée]]-(1+deb_dimJF)),0))*24</f>
        <v>0</v>
      </c>
      <c r="R38" s="55">
        <f>(IF(COUNTIF(JF,Horaires3567[[#This Row],[Date]]),MAX(0,MIN(fin_dimJF,Horaires3567[[#This Row],[Fin corrigée si nuit]])-MAX(deb_dimJF,Horaires3567[[#This Row],[début]])),0)+IF(COUNTIF(JF,Horaires3567[[#This Row],[Date]]+1),MAX(0,Horaires3567[[#This Row],[Fin corrigée si nuit]]-(1+deb_dimJF)),0))*24</f>
        <v>0</v>
      </c>
      <c r="S38" s="55">
        <f>(IF(COUNTIF(JF,Horaires3567[[#This Row],[Date]]),MAX(0,MIN(fin_dimJF,Horaires3567[[#This Row],[Fin corrigée si nuit]])-MAX(deb_dimJF,Horaires3567[[#This Row],[début]])),0)+IF(COUNTIF(JF,Horaires3567[[#This Row],[Date]]+1),MAX(0,Horaires3567[[#This Row],[Fin corrigée si nuit]]-(1+deb_dimJF)),0))*24-
(IF(COUNTIF(JF,Horaires3567[[#This Row],[Date]]),MAX(0,MIN(fin_dimJF,Horaires3567[[#This Row],[PNP Fin corrigée]])-MAX(deb_dimJF,Horaires3567[[#This Row],[PNP Début corrigé]])),0)+IF(COUNTIF(JF,Horaires3567[[#This Row],[Date]]+1),MAX(0,Horaires3567[[#This Row],[PNP Fin corrigée]]-(1+deb_dimJF)),0))*24</f>
        <v>0</v>
      </c>
    </row>
    <row r="39" spans="1:19" x14ac:dyDescent="0.35">
      <c r="A39" s="5"/>
      <c r="B39" s="1"/>
      <c r="C39" s="2"/>
      <c r="D39" s="2"/>
      <c r="E39" s="3"/>
      <c r="F39" s="3"/>
      <c r="G39" s="3"/>
      <c r="H39" s="3"/>
      <c r="I39" s="51">
        <f>0.1*(Horaires3567[[#This Row],[Heures de nuit]]+Horaires3567[[#This Row],[heures jour dimanche]]+Horaires3567[[#This Row],[heures jour fériés]])</f>
        <v>0</v>
      </c>
      <c r="J39" s="52">
        <f>(MOD(Horaires3567[[#This Row],[Fin]]-Horaires3567[[#This Row],[début]],1)-MOD(Horaires3567[[#This Row],[PNP Fin]]-Horaires3567[[#This Row],[PNP Début]],1))*24</f>
        <v>0</v>
      </c>
      <c r="K39" s="53">
        <f>IF(Horaires3567[[#This Row],[PNP Début]]=0,0,IF(Horaires3567[[#This Row],[PNP Début]]&lt;Horaires3567[[#This Row],[début]],1,0)+Horaires3567[[#This Row],[PNP Début]])</f>
        <v>0</v>
      </c>
      <c r="L39" s="54">
        <f>IF(Horaires3567[[#This Row],[PNP Fin]]=0,0,IF(Horaires3567[[#This Row],[PNP Fin]]&lt;Horaires3567[[#This Row],[début]],1,0)+Horaires3567[[#This Row],[PNP Fin]])</f>
        <v>0</v>
      </c>
      <c r="M39" s="54">
        <f>IF(Horaires3567[[#This Row],[Fin]]&lt;Horaires3567[[#This Row],[début]],1,0)+Horaires3567[[#This Row],[Fin]]</f>
        <v>0</v>
      </c>
      <c r="N39" s="35">
        <f>IF(Horaires3567[[#This Row],[Fin]]&lt;Horaires3567[[#This Row],[début]],MAX(0,MIN(Horaires3567[[#This Row],[Fin corrigée si nuit]],fin_nuit)-MAX(Horaires3567[[#This Row],[début]],deb_nuit))*24,(MAX(deb_nuit,Horaires3567[[#This Row],[Fin]])-MAX(deb_nuit,Horaires3567[[#This Row],[début]])+MAX(MIN(fin_nuit-1,Horaires3567[[#This Row],[Fin]])-MIN(fin_nuit-1,Horaires3567[[#This Row],[début]]),0))*24)</f>
        <v>0</v>
      </c>
      <c r="O39" s="55">
        <f>(MAX(0,MIN(Horaires3567[[#This Row],[Fin corrigée si nuit]],fin_nuit)-MAX(Horaires3567[[#This Row],[début]],deb_nuit))-IF(Horaires3567[[#This Row],[PNP Début]]=0,0,MIN(Horaires3567[[#This Row],[PNP Fin corrigée]],fin_nuit)-MAX(Horaires3567[[#This Row],[PNP Début corrigé]],deb_nuit)))*24</f>
        <v>0</v>
      </c>
      <c r="P39" s="55">
        <f>(IF(WEEKDAY(Horaires3567[[#This Row],[Date]],2)=7,MAX(0,MIN(fin_dimJF,Horaires3567[[#This Row],[Fin corrigée si nuit]])-MAX(deb_dimJF,Horaires3567[[#This Row],[début]])),0)+IF(WEEKDAY(Horaires3567[[#This Row],[Date]],2)=6,MAX(0,Horaires3567[[#This Row],[Fin corrigée si nuit]]-(1+deb_dimJF)),0))*24</f>
        <v>0</v>
      </c>
      <c r="Q39" s="55">
        <f>(IF(WEEKDAY(Horaires3567[[#This Row],[Date]],2)=7,MAX(0,MIN(fin_dimJF,Horaires3567[[#This Row],[Fin corrigée si nuit]])-MAX(deb_dimJF,Horaires3567[[#This Row],[début]])),0)+IF(WEEKDAY(Horaires3567[[#This Row],[Date]],2)=6,MAX(0,Horaires3567[[#This Row],[Fin corrigée si nuit]]-(1+deb_dimJF)),0))*24-
(IF(WEEKDAY(Horaires3567[[#This Row],[Date]],2)=7,MAX(0,MIN(fin_dimJF,Horaires3567[[#This Row],[PNP Fin corrigée]])-MAX(deb_dimJF,Horaires3567[[#This Row],[PNP Début corrigé]])),0)+IF(WEEKDAY(Horaires3567[[#This Row],[Date]],2)=6,MAX(0,Horaires3567[[#This Row],[PNP Fin corrigée]]-(1+deb_dimJF)),0))*24</f>
        <v>0</v>
      </c>
      <c r="R39" s="55">
        <f>(IF(COUNTIF(JF,Horaires3567[[#This Row],[Date]]),MAX(0,MIN(fin_dimJF,Horaires3567[[#This Row],[Fin corrigée si nuit]])-MAX(deb_dimJF,Horaires3567[[#This Row],[début]])),0)+IF(COUNTIF(JF,Horaires3567[[#This Row],[Date]]+1),MAX(0,Horaires3567[[#This Row],[Fin corrigée si nuit]]-(1+deb_dimJF)),0))*24</f>
        <v>0</v>
      </c>
      <c r="S39" s="55">
        <f>(IF(COUNTIF(JF,Horaires3567[[#This Row],[Date]]),MAX(0,MIN(fin_dimJF,Horaires3567[[#This Row],[Fin corrigée si nuit]])-MAX(deb_dimJF,Horaires3567[[#This Row],[début]])),0)+IF(COUNTIF(JF,Horaires3567[[#This Row],[Date]]+1),MAX(0,Horaires3567[[#This Row],[Fin corrigée si nuit]]-(1+deb_dimJF)),0))*24-
(IF(COUNTIF(JF,Horaires3567[[#This Row],[Date]]),MAX(0,MIN(fin_dimJF,Horaires3567[[#This Row],[PNP Fin corrigée]])-MAX(deb_dimJF,Horaires3567[[#This Row],[PNP Début corrigé]])),0)+IF(COUNTIF(JF,Horaires3567[[#This Row],[Date]]+1),MAX(0,Horaires3567[[#This Row],[PNP Fin corrigée]]-(1+deb_dimJF)),0))*24</f>
        <v>0</v>
      </c>
    </row>
    <row r="40" spans="1:19" x14ac:dyDescent="0.35">
      <c r="A40" s="5"/>
      <c r="B40" s="1"/>
      <c r="C40" s="2"/>
      <c r="D40" s="2"/>
      <c r="E40" s="3"/>
      <c r="F40" s="3"/>
      <c r="G40" s="3"/>
      <c r="H40" s="3"/>
      <c r="I40" s="51">
        <f>0.1*(Horaires3567[[#This Row],[Heures de nuit]]+Horaires3567[[#This Row],[heures jour dimanche]]+Horaires3567[[#This Row],[heures jour fériés]])</f>
        <v>0</v>
      </c>
      <c r="J40" s="52">
        <f>(MOD(Horaires3567[[#This Row],[Fin]]-Horaires3567[[#This Row],[début]],1)-MOD(Horaires3567[[#This Row],[PNP Fin]]-Horaires3567[[#This Row],[PNP Début]],1))*24</f>
        <v>0</v>
      </c>
      <c r="K40" s="53">
        <f>IF(Horaires3567[[#This Row],[PNP Début]]=0,0,IF(Horaires3567[[#This Row],[PNP Début]]&lt;Horaires3567[[#This Row],[début]],1,0)+Horaires3567[[#This Row],[PNP Début]])</f>
        <v>0</v>
      </c>
      <c r="L40" s="54">
        <f>IF(Horaires3567[[#This Row],[PNP Fin]]=0,0,IF(Horaires3567[[#This Row],[PNP Fin]]&lt;Horaires3567[[#This Row],[début]],1,0)+Horaires3567[[#This Row],[PNP Fin]])</f>
        <v>0</v>
      </c>
      <c r="M40" s="54">
        <f>IF(Horaires3567[[#This Row],[Fin]]&lt;Horaires3567[[#This Row],[début]],1,0)+Horaires3567[[#This Row],[Fin]]</f>
        <v>0</v>
      </c>
      <c r="N40" s="35">
        <f>IF(Horaires3567[[#This Row],[Fin]]&lt;Horaires3567[[#This Row],[début]],MAX(0,MIN(Horaires3567[[#This Row],[Fin corrigée si nuit]],fin_nuit)-MAX(Horaires3567[[#This Row],[début]],deb_nuit))*24,(MAX(deb_nuit,Horaires3567[[#This Row],[Fin]])-MAX(deb_nuit,Horaires3567[[#This Row],[début]])+MAX(MIN(fin_nuit-1,Horaires3567[[#This Row],[Fin]])-MIN(fin_nuit-1,Horaires3567[[#This Row],[début]]),0))*24)</f>
        <v>0</v>
      </c>
      <c r="O40" s="55">
        <f>(MAX(0,MIN(Horaires3567[[#This Row],[Fin corrigée si nuit]],fin_nuit)-MAX(Horaires3567[[#This Row],[début]],deb_nuit))-IF(Horaires3567[[#This Row],[PNP Début]]=0,0,MIN(Horaires3567[[#This Row],[PNP Fin corrigée]],fin_nuit)-MAX(Horaires3567[[#This Row],[PNP Début corrigé]],deb_nuit)))*24</f>
        <v>0</v>
      </c>
      <c r="P40" s="55">
        <f>(IF(WEEKDAY(Horaires3567[[#This Row],[Date]],2)=7,MAX(0,MIN(fin_dimJF,Horaires3567[[#This Row],[Fin corrigée si nuit]])-MAX(deb_dimJF,Horaires3567[[#This Row],[début]])),0)+IF(WEEKDAY(Horaires3567[[#This Row],[Date]],2)=6,MAX(0,Horaires3567[[#This Row],[Fin corrigée si nuit]]-(1+deb_dimJF)),0))*24</f>
        <v>0</v>
      </c>
      <c r="Q40" s="55">
        <f>(IF(WEEKDAY(Horaires3567[[#This Row],[Date]],2)=7,MAX(0,MIN(fin_dimJF,Horaires3567[[#This Row],[Fin corrigée si nuit]])-MAX(deb_dimJF,Horaires3567[[#This Row],[début]])),0)+IF(WEEKDAY(Horaires3567[[#This Row],[Date]],2)=6,MAX(0,Horaires3567[[#This Row],[Fin corrigée si nuit]]-(1+deb_dimJF)),0))*24-
(IF(WEEKDAY(Horaires3567[[#This Row],[Date]],2)=7,MAX(0,MIN(fin_dimJF,Horaires3567[[#This Row],[PNP Fin corrigée]])-MAX(deb_dimJF,Horaires3567[[#This Row],[PNP Début corrigé]])),0)+IF(WEEKDAY(Horaires3567[[#This Row],[Date]],2)=6,MAX(0,Horaires3567[[#This Row],[PNP Fin corrigée]]-(1+deb_dimJF)),0))*24</f>
        <v>0</v>
      </c>
      <c r="R40" s="55">
        <f>(IF(COUNTIF(JF,Horaires3567[[#This Row],[Date]]),MAX(0,MIN(fin_dimJF,Horaires3567[[#This Row],[Fin corrigée si nuit]])-MAX(deb_dimJF,Horaires3567[[#This Row],[début]])),0)+IF(COUNTIF(JF,Horaires3567[[#This Row],[Date]]+1),MAX(0,Horaires3567[[#This Row],[Fin corrigée si nuit]]-(1+deb_dimJF)),0))*24</f>
        <v>0</v>
      </c>
      <c r="S40" s="55">
        <f>(IF(COUNTIF(JF,Horaires3567[[#This Row],[Date]]),MAX(0,MIN(fin_dimJF,Horaires3567[[#This Row],[Fin corrigée si nuit]])-MAX(deb_dimJF,Horaires3567[[#This Row],[début]])),0)+IF(COUNTIF(JF,Horaires3567[[#This Row],[Date]]+1),MAX(0,Horaires3567[[#This Row],[Fin corrigée si nuit]]-(1+deb_dimJF)),0))*24-
(IF(COUNTIF(JF,Horaires3567[[#This Row],[Date]]),MAX(0,MIN(fin_dimJF,Horaires3567[[#This Row],[PNP Fin corrigée]])-MAX(deb_dimJF,Horaires3567[[#This Row],[PNP Début corrigé]])),0)+IF(COUNTIF(JF,Horaires3567[[#This Row],[Date]]+1),MAX(0,Horaires3567[[#This Row],[PNP Fin corrigée]]-(1+deb_dimJF)),0))*24</f>
        <v>0</v>
      </c>
    </row>
    <row r="41" spans="1:19" x14ac:dyDescent="0.35">
      <c r="A41" s="5"/>
      <c r="B41" s="1"/>
      <c r="C41" s="2"/>
      <c r="D41" s="2"/>
      <c r="E41" s="3"/>
      <c r="F41" s="3"/>
      <c r="G41" s="3"/>
      <c r="H41" s="3"/>
      <c r="I41" s="51">
        <f>0.1*(Horaires3567[[#This Row],[Heures de nuit]]+Horaires3567[[#This Row],[heures jour dimanche]]+Horaires3567[[#This Row],[heures jour fériés]])</f>
        <v>0</v>
      </c>
      <c r="J41" s="52">
        <f>(MOD(Horaires3567[[#This Row],[Fin]]-Horaires3567[[#This Row],[début]],1)-MOD(Horaires3567[[#This Row],[PNP Fin]]-Horaires3567[[#This Row],[PNP Début]],1))*24</f>
        <v>0</v>
      </c>
      <c r="K41" s="53">
        <f>IF(Horaires3567[[#This Row],[PNP Début]]=0,0,IF(Horaires3567[[#This Row],[PNP Début]]&lt;Horaires3567[[#This Row],[début]],1,0)+Horaires3567[[#This Row],[PNP Début]])</f>
        <v>0</v>
      </c>
      <c r="L41" s="54">
        <f>IF(Horaires3567[[#This Row],[PNP Fin]]=0,0,IF(Horaires3567[[#This Row],[PNP Fin]]&lt;Horaires3567[[#This Row],[début]],1,0)+Horaires3567[[#This Row],[PNP Fin]])</f>
        <v>0</v>
      </c>
      <c r="M41" s="54">
        <f>IF(Horaires3567[[#This Row],[Fin]]&lt;Horaires3567[[#This Row],[début]],1,0)+Horaires3567[[#This Row],[Fin]]</f>
        <v>0</v>
      </c>
      <c r="N41" s="35">
        <f>IF(Horaires3567[[#This Row],[Fin]]&lt;Horaires3567[[#This Row],[début]],MAX(0,MIN(Horaires3567[[#This Row],[Fin corrigée si nuit]],fin_nuit)-MAX(Horaires3567[[#This Row],[début]],deb_nuit))*24,(MAX(deb_nuit,Horaires3567[[#This Row],[Fin]])-MAX(deb_nuit,Horaires3567[[#This Row],[début]])+MAX(MIN(fin_nuit-1,Horaires3567[[#This Row],[Fin]])-MIN(fin_nuit-1,Horaires3567[[#This Row],[début]]),0))*24)</f>
        <v>0</v>
      </c>
      <c r="O41" s="55">
        <f>(MAX(0,MIN(Horaires3567[[#This Row],[Fin corrigée si nuit]],fin_nuit)-MAX(Horaires3567[[#This Row],[début]],deb_nuit))-IF(Horaires3567[[#This Row],[PNP Début]]=0,0,MIN(Horaires3567[[#This Row],[PNP Fin corrigée]],fin_nuit)-MAX(Horaires3567[[#This Row],[PNP Début corrigé]],deb_nuit)))*24</f>
        <v>0</v>
      </c>
      <c r="P41" s="55">
        <f>(IF(WEEKDAY(Horaires3567[[#This Row],[Date]],2)=7,MAX(0,MIN(fin_dimJF,Horaires3567[[#This Row],[Fin corrigée si nuit]])-MAX(deb_dimJF,Horaires3567[[#This Row],[début]])),0)+IF(WEEKDAY(Horaires3567[[#This Row],[Date]],2)=6,MAX(0,Horaires3567[[#This Row],[Fin corrigée si nuit]]-(1+deb_dimJF)),0))*24</f>
        <v>0</v>
      </c>
      <c r="Q41" s="55">
        <f>(IF(WEEKDAY(Horaires3567[[#This Row],[Date]],2)=7,MAX(0,MIN(fin_dimJF,Horaires3567[[#This Row],[Fin corrigée si nuit]])-MAX(deb_dimJF,Horaires3567[[#This Row],[début]])),0)+IF(WEEKDAY(Horaires3567[[#This Row],[Date]],2)=6,MAX(0,Horaires3567[[#This Row],[Fin corrigée si nuit]]-(1+deb_dimJF)),0))*24-
(IF(WEEKDAY(Horaires3567[[#This Row],[Date]],2)=7,MAX(0,MIN(fin_dimJF,Horaires3567[[#This Row],[PNP Fin corrigée]])-MAX(deb_dimJF,Horaires3567[[#This Row],[PNP Début corrigé]])),0)+IF(WEEKDAY(Horaires3567[[#This Row],[Date]],2)=6,MAX(0,Horaires3567[[#This Row],[PNP Fin corrigée]]-(1+deb_dimJF)),0))*24</f>
        <v>0</v>
      </c>
      <c r="R41" s="55">
        <f>(IF(COUNTIF(JF,Horaires3567[[#This Row],[Date]]),MAX(0,MIN(fin_dimJF,Horaires3567[[#This Row],[Fin corrigée si nuit]])-MAX(deb_dimJF,Horaires3567[[#This Row],[début]])),0)+IF(COUNTIF(JF,Horaires3567[[#This Row],[Date]]+1),MAX(0,Horaires3567[[#This Row],[Fin corrigée si nuit]]-(1+deb_dimJF)),0))*24</f>
        <v>0</v>
      </c>
      <c r="S41" s="55">
        <f>(IF(COUNTIF(JF,Horaires3567[[#This Row],[Date]]),MAX(0,MIN(fin_dimJF,Horaires3567[[#This Row],[Fin corrigée si nuit]])-MAX(deb_dimJF,Horaires3567[[#This Row],[début]])),0)+IF(COUNTIF(JF,Horaires3567[[#This Row],[Date]]+1),MAX(0,Horaires3567[[#This Row],[Fin corrigée si nuit]]-(1+deb_dimJF)),0))*24-
(IF(COUNTIF(JF,Horaires3567[[#This Row],[Date]]),MAX(0,MIN(fin_dimJF,Horaires3567[[#This Row],[PNP Fin corrigée]])-MAX(deb_dimJF,Horaires3567[[#This Row],[PNP Début corrigé]])),0)+IF(COUNTIF(JF,Horaires3567[[#This Row],[Date]]+1),MAX(0,Horaires3567[[#This Row],[PNP Fin corrigée]]-(1+deb_dimJF)),0))*24</f>
        <v>0</v>
      </c>
    </row>
    <row r="42" spans="1:19" x14ac:dyDescent="0.35">
      <c r="A42" s="5"/>
      <c r="B42" s="1"/>
      <c r="C42" s="2"/>
      <c r="D42" s="2"/>
      <c r="E42" s="3"/>
      <c r="F42" s="3"/>
      <c r="G42" s="3"/>
      <c r="H42" s="3"/>
      <c r="I42" s="51">
        <f>0.1*(Horaires3567[[#This Row],[Heures de nuit]]+Horaires3567[[#This Row],[heures jour dimanche]]+Horaires3567[[#This Row],[heures jour fériés]])</f>
        <v>0</v>
      </c>
      <c r="J42" s="52">
        <f>(MOD(Horaires3567[[#This Row],[Fin]]-Horaires3567[[#This Row],[début]],1)-MOD(Horaires3567[[#This Row],[PNP Fin]]-Horaires3567[[#This Row],[PNP Début]],1))*24</f>
        <v>0</v>
      </c>
      <c r="K42" s="53">
        <f>IF(Horaires3567[[#This Row],[PNP Début]]=0,0,IF(Horaires3567[[#This Row],[PNP Début]]&lt;Horaires3567[[#This Row],[début]],1,0)+Horaires3567[[#This Row],[PNP Début]])</f>
        <v>0</v>
      </c>
      <c r="L42" s="54">
        <f>IF(Horaires3567[[#This Row],[PNP Fin]]=0,0,IF(Horaires3567[[#This Row],[PNP Fin]]&lt;Horaires3567[[#This Row],[début]],1,0)+Horaires3567[[#This Row],[PNP Fin]])</f>
        <v>0</v>
      </c>
      <c r="M42" s="54">
        <f>IF(Horaires3567[[#This Row],[Fin]]&lt;Horaires3567[[#This Row],[début]],1,0)+Horaires3567[[#This Row],[Fin]]</f>
        <v>0</v>
      </c>
      <c r="N42" s="35">
        <f>IF(Horaires3567[[#This Row],[Fin]]&lt;Horaires3567[[#This Row],[début]],MAX(0,MIN(Horaires3567[[#This Row],[Fin corrigée si nuit]],fin_nuit)-MAX(Horaires3567[[#This Row],[début]],deb_nuit))*24,(MAX(deb_nuit,Horaires3567[[#This Row],[Fin]])-MAX(deb_nuit,Horaires3567[[#This Row],[début]])+MAX(MIN(fin_nuit-1,Horaires3567[[#This Row],[Fin]])-MIN(fin_nuit-1,Horaires3567[[#This Row],[début]]),0))*24)</f>
        <v>0</v>
      </c>
      <c r="O42" s="55">
        <f>(MAX(0,MIN(Horaires3567[[#This Row],[Fin corrigée si nuit]],fin_nuit)-MAX(Horaires3567[[#This Row],[début]],deb_nuit))-IF(Horaires3567[[#This Row],[PNP Début]]=0,0,MIN(Horaires3567[[#This Row],[PNP Fin corrigée]],fin_nuit)-MAX(Horaires3567[[#This Row],[PNP Début corrigé]],deb_nuit)))*24</f>
        <v>0</v>
      </c>
      <c r="P42" s="55">
        <f>(IF(WEEKDAY(Horaires3567[[#This Row],[Date]],2)=7,MAX(0,MIN(fin_dimJF,Horaires3567[[#This Row],[Fin corrigée si nuit]])-MAX(deb_dimJF,Horaires3567[[#This Row],[début]])),0)+IF(WEEKDAY(Horaires3567[[#This Row],[Date]],2)=6,MAX(0,Horaires3567[[#This Row],[Fin corrigée si nuit]]-(1+deb_dimJF)),0))*24</f>
        <v>0</v>
      </c>
      <c r="Q42" s="55">
        <f>(IF(WEEKDAY(Horaires3567[[#This Row],[Date]],2)=7,MAX(0,MIN(fin_dimJF,Horaires3567[[#This Row],[Fin corrigée si nuit]])-MAX(deb_dimJF,Horaires3567[[#This Row],[début]])),0)+IF(WEEKDAY(Horaires3567[[#This Row],[Date]],2)=6,MAX(0,Horaires3567[[#This Row],[Fin corrigée si nuit]]-(1+deb_dimJF)),0))*24-
(IF(WEEKDAY(Horaires3567[[#This Row],[Date]],2)=7,MAX(0,MIN(fin_dimJF,Horaires3567[[#This Row],[PNP Fin corrigée]])-MAX(deb_dimJF,Horaires3567[[#This Row],[PNP Début corrigé]])),0)+IF(WEEKDAY(Horaires3567[[#This Row],[Date]],2)=6,MAX(0,Horaires3567[[#This Row],[PNP Fin corrigée]]-(1+deb_dimJF)),0))*24</f>
        <v>0</v>
      </c>
      <c r="R42" s="55">
        <f>(IF(COUNTIF(JF,Horaires3567[[#This Row],[Date]]),MAX(0,MIN(fin_dimJF,Horaires3567[[#This Row],[Fin corrigée si nuit]])-MAX(deb_dimJF,Horaires3567[[#This Row],[début]])),0)+IF(COUNTIF(JF,Horaires3567[[#This Row],[Date]]+1),MAX(0,Horaires3567[[#This Row],[Fin corrigée si nuit]]-(1+deb_dimJF)),0))*24</f>
        <v>0</v>
      </c>
      <c r="S42" s="55">
        <f>(IF(COUNTIF(JF,Horaires3567[[#This Row],[Date]]),MAX(0,MIN(fin_dimJF,Horaires3567[[#This Row],[Fin corrigée si nuit]])-MAX(deb_dimJF,Horaires3567[[#This Row],[début]])),0)+IF(COUNTIF(JF,Horaires3567[[#This Row],[Date]]+1),MAX(0,Horaires3567[[#This Row],[Fin corrigée si nuit]]-(1+deb_dimJF)),0))*24-
(IF(COUNTIF(JF,Horaires3567[[#This Row],[Date]]),MAX(0,MIN(fin_dimJF,Horaires3567[[#This Row],[PNP Fin corrigée]])-MAX(deb_dimJF,Horaires3567[[#This Row],[PNP Début corrigé]])),0)+IF(COUNTIF(JF,Horaires3567[[#This Row],[Date]]+1),MAX(0,Horaires3567[[#This Row],[PNP Fin corrigée]]-(1+deb_dimJF)),0))*24</f>
        <v>0</v>
      </c>
    </row>
    <row r="43" spans="1:19" x14ac:dyDescent="0.35">
      <c r="A43" s="5"/>
      <c r="B43" s="1"/>
      <c r="C43" s="2"/>
      <c r="D43" s="2"/>
      <c r="E43" s="3"/>
      <c r="F43" s="3"/>
      <c r="G43" s="3"/>
      <c r="H43" s="3"/>
      <c r="I43" s="51">
        <f>0.1*(Horaires3567[[#This Row],[Heures de nuit]]+Horaires3567[[#This Row],[heures jour dimanche]]+Horaires3567[[#This Row],[heures jour fériés]])</f>
        <v>0</v>
      </c>
      <c r="J43" s="52">
        <f>(MOD(Horaires3567[[#This Row],[Fin]]-Horaires3567[[#This Row],[début]],1)-MOD(Horaires3567[[#This Row],[PNP Fin]]-Horaires3567[[#This Row],[PNP Début]],1))*24</f>
        <v>0</v>
      </c>
      <c r="K43" s="53">
        <f>IF(Horaires3567[[#This Row],[PNP Début]]=0,0,IF(Horaires3567[[#This Row],[PNP Début]]&lt;Horaires3567[[#This Row],[début]],1,0)+Horaires3567[[#This Row],[PNP Début]])</f>
        <v>0</v>
      </c>
      <c r="L43" s="54">
        <f>IF(Horaires3567[[#This Row],[PNP Fin]]=0,0,IF(Horaires3567[[#This Row],[PNP Fin]]&lt;Horaires3567[[#This Row],[début]],1,0)+Horaires3567[[#This Row],[PNP Fin]])</f>
        <v>0</v>
      </c>
      <c r="M43" s="54">
        <f>IF(Horaires3567[[#This Row],[Fin]]&lt;Horaires3567[[#This Row],[début]],1,0)+Horaires3567[[#This Row],[Fin]]</f>
        <v>0</v>
      </c>
      <c r="N43" s="35">
        <f>IF(Horaires3567[[#This Row],[Fin]]&lt;Horaires3567[[#This Row],[début]],MAX(0,MIN(Horaires3567[[#This Row],[Fin corrigée si nuit]],fin_nuit)-MAX(Horaires3567[[#This Row],[début]],deb_nuit))*24,(MAX(deb_nuit,Horaires3567[[#This Row],[Fin]])-MAX(deb_nuit,Horaires3567[[#This Row],[début]])+MAX(MIN(fin_nuit-1,Horaires3567[[#This Row],[Fin]])-MIN(fin_nuit-1,Horaires3567[[#This Row],[début]]),0))*24)</f>
        <v>0</v>
      </c>
      <c r="O43" s="55">
        <f>(MAX(0,MIN(Horaires3567[[#This Row],[Fin corrigée si nuit]],fin_nuit)-MAX(Horaires3567[[#This Row],[début]],deb_nuit))-IF(Horaires3567[[#This Row],[PNP Début]]=0,0,MIN(Horaires3567[[#This Row],[PNP Fin corrigée]],fin_nuit)-MAX(Horaires3567[[#This Row],[PNP Début corrigé]],deb_nuit)))*24</f>
        <v>0</v>
      </c>
      <c r="P43" s="55">
        <f>(IF(WEEKDAY(Horaires3567[[#This Row],[Date]],2)=7,MAX(0,MIN(fin_dimJF,Horaires3567[[#This Row],[Fin corrigée si nuit]])-MAX(deb_dimJF,Horaires3567[[#This Row],[début]])),0)+IF(WEEKDAY(Horaires3567[[#This Row],[Date]],2)=6,MAX(0,Horaires3567[[#This Row],[Fin corrigée si nuit]]-(1+deb_dimJF)),0))*24</f>
        <v>0</v>
      </c>
      <c r="Q43" s="55">
        <f>(IF(WEEKDAY(Horaires3567[[#This Row],[Date]],2)=7,MAX(0,MIN(fin_dimJF,Horaires3567[[#This Row],[Fin corrigée si nuit]])-MAX(deb_dimJF,Horaires3567[[#This Row],[début]])),0)+IF(WEEKDAY(Horaires3567[[#This Row],[Date]],2)=6,MAX(0,Horaires3567[[#This Row],[Fin corrigée si nuit]]-(1+deb_dimJF)),0))*24-
(IF(WEEKDAY(Horaires3567[[#This Row],[Date]],2)=7,MAX(0,MIN(fin_dimJF,Horaires3567[[#This Row],[PNP Fin corrigée]])-MAX(deb_dimJF,Horaires3567[[#This Row],[PNP Début corrigé]])),0)+IF(WEEKDAY(Horaires3567[[#This Row],[Date]],2)=6,MAX(0,Horaires3567[[#This Row],[PNP Fin corrigée]]-(1+deb_dimJF)),0))*24</f>
        <v>0</v>
      </c>
      <c r="R43" s="55">
        <f>(IF(COUNTIF(JF,Horaires3567[[#This Row],[Date]]),MAX(0,MIN(fin_dimJF,Horaires3567[[#This Row],[Fin corrigée si nuit]])-MAX(deb_dimJF,Horaires3567[[#This Row],[début]])),0)+IF(COUNTIF(JF,Horaires3567[[#This Row],[Date]]+1),MAX(0,Horaires3567[[#This Row],[Fin corrigée si nuit]]-(1+deb_dimJF)),0))*24</f>
        <v>0</v>
      </c>
      <c r="S43" s="55">
        <f>(IF(COUNTIF(JF,Horaires3567[[#This Row],[Date]]),MAX(0,MIN(fin_dimJF,Horaires3567[[#This Row],[Fin corrigée si nuit]])-MAX(deb_dimJF,Horaires3567[[#This Row],[début]])),0)+IF(COUNTIF(JF,Horaires3567[[#This Row],[Date]]+1),MAX(0,Horaires3567[[#This Row],[Fin corrigée si nuit]]-(1+deb_dimJF)),0))*24-
(IF(COUNTIF(JF,Horaires3567[[#This Row],[Date]]),MAX(0,MIN(fin_dimJF,Horaires3567[[#This Row],[PNP Fin corrigée]])-MAX(deb_dimJF,Horaires3567[[#This Row],[PNP Début corrigé]])),0)+IF(COUNTIF(JF,Horaires3567[[#This Row],[Date]]+1),MAX(0,Horaires3567[[#This Row],[PNP Fin corrigée]]-(1+deb_dimJF)),0))*24</f>
        <v>0</v>
      </c>
    </row>
    <row r="44" spans="1:19" x14ac:dyDescent="0.35">
      <c r="A44" s="5"/>
      <c r="B44" s="1"/>
      <c r="C44" s="2"/>
      <c r="D44" s="2"/>
      <c r="E44" s="3"/>
      <c r="F44" s="3"/>
      <c r="G44" s="3"/>
      <c r="H44" s="3"/>
      <c r="I44" s="51">
        <f>0.1*(Horaires3567[[#This Row],[Heures de nuit]]+Horaires3567[[#This Row],[heures jour dimanche]]+Horaires3567[[#This Row],[heures jour fériés]])</f>
        <v>0</v>
      </c>
      <c r="J44" s="52">
        <f>(MOD(Horaires3567[[#This Row],[Fin]]-Horaires3567[[#This Row],[début]],1)-MOD(Horaires3567[[#This Row],[PNP Fin]]-Horaires3567[[#This Row],[PNP Début]],1))*24</f>
        <v>0</v>
      </c>
      <c r="K44" s="53">
        <f>IF(Horaires3567[[#This Row],[PNP Début]]=0,0,IF(Horaires3567[[#This Row],[PNP Début]]&lt;Horaires3567[[#This Row],[début]],1,0)+Horaires3567[[#This Row],[PNP Début]])</f>
        <v>0</v>
      </c>
      <c r="L44" s="54">
        <f>IF(Horaires3567[[#This Row],[PNP Fin]]=0,0,IF(Horaires3567[[#This Row],[PNP Fin]]&lt;Horaires3567[[#This Row],[début]],1,0)+Horaires3567[[#This Row],[PNP Fin]])</f>
        <v>0</v>
      </c>
      <c r="M44" s="54">
        <f>IF(Horaires3567[[#This Row],[Fin]]&lt;Horaires3567[[#This Row],[début]],1,0)+Horaires3567[[#This Row],[Fin]]</f>
        <v>0</v>
      </c>
      <c r="N44" s="35">
        <f>IF(Horaires3567[[#This Row],[Fin]]&lt;Horaires3567[[#This Row],[début]],MAX(0,MIN(Horaires3567[[#This Row],[Fin corrigée si nuit]],fin_nuit)-MAX(Horaires3567[[#This Row],[début]],deb_nuit))*24,(MAX(deb_nuit,Horaires3567[[#This Row],[Fin]])-MAX(deb_nuit,Horaires3567[[#This Row],[début]])+MAX(MIN(fin_nuit-1,Horaires3567[[#This Row],[Fin]])-MIN(fin_nuit-1,Horaires3567[[#This Row],[début]]),0))*24)</f>
        <v>0</v>
      </c>
      <c r="O44" s="55">
        <f>(MAX(0,MIN(Horaires3567[[#This Row],[Fin corrigée si nuit]],fin_nuit)-MAX(Horaires3567[[#This Row],[début]],deb_nuit))-IF(Horaires3567[[#This Row],[PNP Début]]=0,0,MIN(Horaires3567[[#This Row],[PNP Fin corrigée]],fin_nuit)-MAX(Horaires3567[[#This Row],[PNP Début corrigé]],deb_nuit)))*24</f>
        <v>0</v>
      </c>
      <c r="P44" s="55">
        <f>(IF(WEEKDAY(Horaires3567[[#This Row],[Date]],2)=7,MAX(0,MIN(fin_dimJF,Horaires3567[[#This Row],[Fin corrigée si nuit]])-MAX(deb_dimJF,Horaires3567[[#This Row],[début]])),0)+IF(WEEKDAY(Horaires3567[[#This Row],[Date]],2)=6,MAX(0,Horaires3567[[#This Row],[Fin corrigée si nuit]]-(1+deb_dimJF)),0))*24</f>
        <v>0</v>
      </c>
      <c r="Q44" s="55">
        <f>(IF(WEEKDAY(Horaires3567[[#This Row],[Date]],2)=7,MAX(0,MIN(fin_dimJF,Horaires3567[[#This Row],[Fin corrigée si nuit]])-MAX(deb_dimJF,Horaires3567[[#This Row],[début]])),0)+IF(WEEKDAY(Horaires3567[[#This Row],[Date]],2)=6,MAX(0,Horaires3567[[#This Row],[Fin corrigée si nuit]]-(1+deb_dimJF)),0))*24-
(IF(WEEKDAY(Horaires3567[[#This Row],[Date]],2)=7,MAX(0,MIN(fin_dimJF,Horaires3567[[#This Row],[PNP Fin corrigée]])-MAX(deb_dimJF,Horaires3567[[#This Row],[PNP Début corrigé]])),0)+IF(WEEKDAY(Horaires3567[[#This Row],[Date]],2)=6,MAX(0,Horaires3567[[#This Row],[PNP Fin corrigée]]-(1+deb_dimJF)),0))*24</f>
        <v>0</v>
      </c>
      <c r="R44" s="55">
        <f>(IF(COUNTIF(JF,Horaires3567[[#This Row],[Date]]),MAX(0,MIN(fin_dimJF,Horaires3567[[#This Row],[Fin corrigée si nuit]])-MAX(deb_dimJF,Horaires3567[[#This Row],[début]])),0)+IF(COUNTIF(JF,Horaires3567[[#This Row],[Date]]+1),MAX(0,Horaires3567[[#This Row],[Fin corrigée si nuit]]-(1+deb_dimJF)),0))*24</f>
        <v>0</v>
      </c>
      <c r="S44" s="55">
        <f>(IF(COUNTIF(JF,Horaires3567[[#This Row],[Date]]),MAX(0,MIN(fin_dimJF,Horaires3567[[#This Row],[Fin corrigée si nuit]])-MAX(deb_dimJF,Horaires3567[[#This Row],[début]])),0)+IF(COUNTIF(JF,Horaires3567[[#This Row],[Date]]+1),MAX(0,Horaires3567[[#This Row],[Fin corrigée si nuit]]-(1+deb_dimJF)),0))*24-
(IF(COUNTIF(JF,Horaires3567[[#This Row],[Date]]),MAX(0,MIN(fin_dimJF,Horaires3567[[#This Row],[PNP Fin corrigée]])-MAX(deb_dimJF,Horaires3567[[#This Row],[PNP Début corrigé]])),0)+IF(COUNTIF(JF,Horaires3567[[#This Row],[Date]]+1),MAX(0,Horaires3567[[#This Row],[PNP Fin corrigée]]-(1+deb_dimJF)),0))*24</f>
        <v>0</v>
      </c>
    </row>
    <row r="45" spans="1:19" x14ac:dyDescent="0.35">
      <c r="A45" s="5"/>
      <c r="B45" s="1"/>
      <c r="C45" s="2"/>
      <c r="D45" s="2"/>
      <c r="E45" s="3"/>
      <c r="F45" s="3"/>
      <c r="G45" s="3"/>
      <c r="H45" s="3"/>
      <c r="I45" s="51">
        <f>0.1*(Horaires3567[[#This Row],[Heures de nuit]]+Horaires3567[[#This Row],[heures jour dimanche]]+Horaires3567[[#This Row],[heures jour fériés]])</f>
        <v>0</v>
      </c>
      <c r="J45" s="52">
        <f>(MOD(Horaires3567[[#This Row],[Fin]]-Horaires3567[[#This Row],[début]],1)-MOD(Horaires3567[[#This Row],[PNP Fin]]-Horaires3567[[#This Row],[PNP Début]],1))*24</f>
        <v>0</v>
      </c>
      <c r="K45" s="53">
        <f>IF(Horaires3567[[#This Row],[PNP Début]]=0,0,IF(Horaires3567[[#This Row],[PNP Début]]&lt;Horaires3567[[#This Row],[début]],1,0)+Horaires3567[[#This Row],[PNP Début]])</f>
        <v>0</v>
      </c>
      <c r="L45" s="54">
        <f>IF(Horaires3567[[#This Row],[PNP Fin]]=0,0,IF(Horaires3567[[#This Row],[PNP Fin]]&lt;Horaires3567[[#This Row],[début]],1,0)+Horaires3567[[#This Row],[PNP Fin]])</f>
        <v>0</v>
      </c>
      <c r="M45" s="54">
        <f>IF(Horaires3567[[#This Row],[Fin]]&lt;Horaires3567[[#This Row],[début]],1,0)+Horaires3567[[#This Row],[Fin]]</f>
        <v>0</v>
      </c>
      <c r="N45" s="35">
        <f>IF(Horaires3567[[#This Row],[Fin]]&lt;Horaires3567[[#This Row],[début]],MAX(0,MIN(Horaires3567[[#This Row],[Fin corrigée si nuit]],fin_nuit)-MAX(Horaires3567[[#This Row],[début]],deb_nuit))*24,(MAX(deb_nuit,Horaires3567[[#This Row],[Fin]])-MAX(deb_nuit,Horaires3567[[#This Row],[début]])+MAX(MIN(fin_nuit-1,Horaires3567[[#This Row],[Fin]])-MIN(fin_nuit-1,Horaires3567[[#This Row],[début]]),0))*24)</f>
        <v>0</v>
      </c>
      <c r="O45" s="55">
        <f>(MAX(0,MIN(Horaires3567[[#This Row],[Fin corrigée si nuit]],fin_nuit)-MAX(Horaires3567[[#This Row],[début]],deb_nuit))-IF(Horaires3567[[#This Row],[PNP Début]]=0,0,MIN(Horaires3567[[#This Row],[PNP Fin corrigée]],fin_nuit)-MAX(Horaires3567[[#This Row],[PNP Début corrigé]],deb_nuit)))*24</f>
        <v>0</v>
      </c>
      <c r="P45" s="55">
        <f>(IF(WEEKDAY(Horaires3567[[#This Row],[Date]],2)=7,MAX(0,MIN(fin_dimJF,Horaires3567[[#This Row],[Fin corrigée si nuit]])-MAX(deb_dimJF,Horaires3567[[#This Row],[début]])),0)+IF(WEEKDAY(Horaires3567[[#This Row],[Date]],2)=6,MAX(0,Horaires3567[[#This Row],[Fin corrigée si nuit]]-(1+deb_dimJF)),0))*24</f>
        <v>0</v>
      </c>
      <c r="Q45" s="55">
        <f>(IF(WEEKDAY(Horaires3567[[#This Row],[Date]],2)=7,MAX(0,MIN(fin_dimJF,Horaires3567[[#This Row],[Fin corrigée si nuit]])-MAX(deb_dimJF,Horaires3567[[#This Row],[début]])),0)+IF(WEEKDAY(Horaires3567[[#This Row],[Date]],2)=6,MAX(0,Horaires3567[[#This Row],[Fin corrigée si nuit]]-(1+deb_dimJF)),0))*24-
(IF(WEEKDAY(Horaires3567[[#This Row],[Date]],2)=7,MAX(0,MIN(fin_dimJF,Horaires3567[[#This Row],[PNP Fin corrigée]])-MAX(deb_dimJF,Horaires3567[[#This Row],[PNP Début corrigé]])),0)+IF(WEEKDAY(Horaires3567[[#This Row],[Date]],2)=6,MAX(0,Horaires3567[[#This Row],[PNP Fin corrigée]]-(1+deb_dimJF)),0))*24</f>
        <v>0</v>
      </c>
      <c r="R45" s="55">
        <f>(IF(COUNTIF(JF,Horaires3567[[#This Row],[Date]]),MAX(0,MIN(fin_dimJF,Horaires3567[[#This Row],[Fin corrigée si nuit]])-MAX(deb_dimJF,Horaires3567[[#This Row],[début]])),0)+IF(COUNTIF(JF,Horaires3567[[#This Row],[Date]]+1),MAX(0,Horaires3567[[#This Row],[Fin corrigée si nuit]]-(1+deb_dimJF)),0))*24</f>
        <v>0</v>
      </c>
      <c r="S45" s="55">
        <f>(IF(COUNTIF(JF,Horaires3567[[#This Row],[Date]]),MAX(0,MIN(fin_dimJF,Horaires3567[[#This Row],[Fin corrigée si nuit]])-MAX(deb_dimJF,Horaires3567[[#This Row],[début]])),0)+IF(COUNTIF(JF,Horaires3567[[#This Row],[Date]]+1),MAX(0,Horaires3567[[#This Row],[Fin corrigée si nuit]]-(1+deb_dimJF)),0))*24-
(IF(COUNTIF(JF,Horaires3567[[#This Row],[Date]]),MAX(0,MIN(fin_dimJF,Horaires3567[[#This Row],[PNP Fin corrigée]])-MAX(deb_dimJF,Horaires3567[[#This Row],[PNP Début corrigé]])),0)+IF(COUNTIF(JF,Horaires3567[[#This Row],[Date]]+1),MAX(0,Horaires3567[[#This Row],[PNP Fin corrigée]]-(1+deb_dimJF)),0))*24</f>
        <v>0</v>
      </c>
    </row>
    <row r="46" spans="1:19" x14ac:dyDescent="0.35">
      <c r="A46" s="5"/>
      <c r="B46" s="1"/>
      <c r="C46" s="2"/>
      <c r="D46" s="2"/>
      <c r="E46" s="3"/>
      <c r="F46" s="3"/>
      <c r="G46" s="3"/>
      <c r="H46" s="3"/>
      <c r="I46" s="51">
        <f>0.1*(Horaires3567[[#This Row],[Heures de nuit]]+Horaires3567[[#This Row],[heures jour dimanche]]+Horaires3567[[#This Row],[heures jour fériés]])</f>
        <v>0</v>
      </c>
      <c r="J46" s="52">
        <f>(MOD(Horaires3567[[#This Row],[Fin]]-Horaires3567[[#This Row],[début]],1)-MOD(Horaires3567[[#This Row],[PNP Fin]]-Horaires3567[[#This Row],[PNP Début]],1))*24</f>
        <v>0</v>
      </c>
      <c r="K46" s="53">
        <f>IF(Horaires3567[[#This Row],[PNP Début]]=0,0,IF(Horaires3567[[#This Row],[PNP Début]]&lt;Horaires3567[[#This Row],[début]],1,0)+Horaires3567[[#This Row],[PNP Début]])</f>
        <v>0</v>
      </c>
      <c r="L46" s="54">
        <f>IF(Horaires3567[[#This Row],[PNP Fin]]=0,0,IF(Horaires3567[[#This Row],[PNP Fin]]&lt;Horaires3567[[#This Row],[début]],1,0)+Horaires3567[[#This Row],[PNP Fin]])</f>
        <v>0</v>
      </c>
      <c r="M46" s="54">
        <f>IF(Horaires3567[[#This Row],[Fin]]&lt;Horaires3567[[#This Row],[début]],1,0)+Horaires3567[[#This Row],[Fin]]</f>
        <v>0</v>
      </c>
      <c r="N46" s="35">
        <f>IF(Horaires3567[[#This Row],[Fin]]&lt;Horaires3567[[#This Row],[début]],MAX(0,MIN(Horaires3567[[#This Row],[Fin corrigée si nuit]],fin_nuit)-MAX(Horaires3567[[#This Row],[début]],deb_nuit))*24,(MAX(deb_nuit,Horaires3567[[#This Row],[Fin]])-MAX(deb_nuit,Horaires3567[[#This Row],[début]])+MAX(MIN(fin_nuit-1,Horaires3567[[#This Row],[Fin]])-MIN(fin_nuit-1,Horaires3567[[#This Row],[début]]),0))*24)</f>
        <v>0</v>
      </c>
      <c r="O46" s="55">
        <f>(MAX(0,MIN(Horaires3567[[#This Row],[Fin corrigée si nuit]],fin_nuit)-MAX(Horaires3567[[#This Row],[début]],deb_nuit))-IF(Horaires3567[[#This Row],[PNP Début]]=0,0,MIN(Horaires3567[[#This Row],[PNP Fin corrigée]],fin_nuit)-MAX(Horaires3567[[#This Row],[PNP Début corrigé]],deb_nuit)))*24</f>
        <v>0</v>
      </c>
      <c r="P46" s="55">
        <f>(IF(WEEKDAY(Horaires3567[[#This Row],[Date]],2)=7,MAX(0,MIN(fin_dimJF,Horaires3567[[#This Row],[Fin corrigée si nuit]])-MAX(deb_dimJF,Horaires3567[[#This Row],[début]])),0)+IF(WEEKDAY(Horaires3567[[#This Row],[Date]],2)=6,MAX(0,Horaires3567[[#This Row],[Fin corrigée si nuit]]-(1+deb_dimJF)),0))*24</f>
        <v>0</v>
      </c>
      <c r="Q46" s="55">
        <f>(IF(WEEKDAY(Horaires3567[[#This Row],[Date]],2)=7,MAX(0,MIN(fin_dimJF,Horaires3567[[#This Row],[Fin corrigée si nuit]])-MAX(deb_dimJF,Horaires3567[[#This Row],[début]])),0)+IF(WEEKDAY(Horaires3567[[#This Row],[Date]],2)=6,MAX(0,Horaires3567[[#This Row],[Fin corrigée si nuit]]-(1+deb_dimJF)),0))*24-
(IF(WEEKDAY(Horaires3567[[#This Row],[Date]],2)=7,MAX(0,MIN(fin_dimJF,Horaires3567[[#This Row],[PNP Fin corrigée]])-MAX(deb_dimJF,Horaires3567[[#This Row],[PNP Début corrigé]])),0)+IF(WEEKDAY(Horaires3567[[#This Row],[Date]],2)=6,MAX(0,Horaires3567[[#This Row],[PNP Fin corrigée]]-(1+deb_dimJF)),0))*24</f>
        <v>0</v>
      </c>
      <c r="R46" s="55">
        <f>(IF(COUNTIF(JF,Horaires3567[[#This Row],[Date]]),MAX(0,MIN(fin_dimJF,Horaires3567[[#This Row],[Fin corrigée si nuit]])-MAX(deb_dimJF,Horaires3567[[#This Row],[début]])),0)+IF(COUNTIF(JF,Horaires3567[[#This Row],[Date]]+1),MAX(0,Horaires3567[[#This Row],[Fin corrigée si nuit]]-(1+deb_dimJF)),0))*24</f>
        <v>0</v>
      </c>
      <c r="S46" s="55">
        <f>(IF(COUNTIF(JF,Horaires3567[[#This Row],[Date]]),MAX(0,MIN(fin_dimJF,Horaires3567[[#This Row],[Fin corrigée si nuit]])-MAX(deb_dimJF,Horaires3567[[#This Row],[début]])),0)+IF(COUNTIF(JF,Horaires3567[[#This Row],[Date]]+1),MAX(0,Horaires3567[[#This Row],[Fin corrigée si nuit]]-(1+deb_dimJF)),0))*24-
(IF(COUNTIF(JF,Horaires3567[[#This Row],[Date]]),MAX(0,MIN(fin_dimJF,Horaires3567[[#This Row],[PNP Fin corrigée]])-MAX(deb_dimJF,Horaires3567[[#This Row],[PNP Début corrigé]])),0)+IF(COUNTIF(JF,Horaires3567[[#This Row],[Date]]+1),MAX(0,Horaires3567[[#This Row],[PNP Fin corrigée]]-(1+deb_dimJF)),0))*24</f>
        <v>0</v>
      </c>
    </row>
    <row r="47" spans="1:19" x14ac:dyDescent="0.35">
      <c r="A47" s="5"/>
      <c r="B47" s="1"/>
      <c r="C47" s="2"/>
      <c r="D47" s="2"/>
      <c r="E47" s="3"/>
      <c r="F47" s="3"/>
      <c r="G47" s="3"/>
      <c r="H47" s="3"/>
      <c r="I47" s="51">
        <f>0.1*(Horaires3567[[#This Row],[Heures de nuit]]+Horaires3567[[#This Row],[heures jour dimanche]]+Horaires3567[[#This Row],[heures jour fériés]])</f>
        <v>0</v>
      </c>
      <c r="J47" s="52">
        <f>(MOD(Horaires3567[[#This Row],[Fin]]-Horaires3567[[#This Row],[début]],1)-MOD(Horaires3567[[#This Row],[PNP Fin]]-Horaires3567[[#This Row],[PNP Début]],1))*24</f>
        <v>0</v>
      </c>
      <c r="K47" s="53">
        <f>IF(Horaires3567[[#This Row],[PNP Début]]=0,0,IF(Horaires3567[[#This Row],[PNP Début]]&lt;Horaires3567[[#This Row],[début]],1,0)+Horaires3567[[#This Row],[PNP Début]])</f>
        <v>0</v>
      </c>
      <c r="L47" s="54">
        <f>IF(Horaires3567[[#This Row],[PNP Fin]]=0,0,IF(Horaires3567[[#This Row],[PNP Fin]]&lt;Horaires3567[[#This Row],[début]],1,0)+Horaires3567[[#This Row],[PNP Fin]])</f>
        <v>0</v>
      </c>
      <c r="M47" s="54">
        <f>IF(Horaires3567[[#This Row],[Fin]]&lt;Horaires3567[[#This Row],[début]],1,0)+Horaires3567[[#This Row],[Fin]]</f>
        <v>0</v>
      </c>
      <c r="N47" s="35">
        <f>IF(Horaires3567[[#This Row],[Fin]]&lt;Horaires3567[[#This Row],[début]],MAX(0,MIN(Horaires3567[[#This Row],[Fin corrigée si nuit]],fin_nuit)-MAX(Horaires3567[[#This Row],[début]],deb_nuit))*24,(MAX(deb_nuit,Horaires3567[[#This Row],[Fin]])-MAX(deb_nuit,Horaires3567[[#This Row],[début]])+MAX(MIN(fin_nuit-1,Horaires3567[[#This Row],[Fin]])-MIN(fin_nuit-1,Horaires3567[[#This Row],[début]]),0))*24)</f>
        <v>0</v>
      </c>
      <c r="O47" s="55">
        <f>(MAX(0,MIN(Horaires3567[[#This Row],[Fin corrigée si nuit]],fin_nuit)-MAX(Horaires3567[[#This Row],[début]],deb_nuit))-IF(Horaires3567[[#This Row],[PNP Début]]=0,0,MIN(Horaires3567[[#This Row],[PNP Fin corrigée]],fin_nuit)-MAX(Horaires3567[[#This Row],[PNP Début corrigé]],deb_nuit)))*24</f>
        <v>0</v>
      </c>
      <c r="P47" s="55">
        <f>(IF(WEEKDAY(Horaires3567[[#This Row],[Date]],2)=7,MAX(0,MIN(fin_dimJF,Horaires3567[[#This Row],[Fin corrigée si nuit]])-MAX(deb_dimJF,Horaires3567[[#This Row],[début]])),0)+IF(WEEKDAY(Horaires3567[[#This Row],[Date]],2)=6,MAX(0,Horaires3567[[#This Row],[Fin corrigée si nuit]]-(1+deb_dimJF)),0))*24</f>
        <v>0</v>
      </c>
      <c r="Q47" s="55">
        <f>(IF(WEEKDAY(Horaires3567[[#This Row],[Date]],2)=7,MAX(0,MIN(fin_dimJF,Horaires3567[[#This Row],[Fin corrigée si nuit]])-MAX(deb_dimJF,Horaires3567[[#This Row],[début]])),0)+IF(WEEKDAY(Horaires3567[[#This Row],[Date]],2)=6,MAX(0,Horaires3567[[#This Row],[Fin corrigée si nuit]]-(1+deb_dimJF)),0))*24-
(IF(WEEKDAY(Horaires3567[[#This Row],[Date]],2)=7,MAX(0,MIN(fin_dimJF,Horaires3567[[#This Row],[PNP Fin corrigée]])-MAX(deb_dimJF,Horaires3567[[#This Row],[PNP Début corrigé]])),0)+IF(WEEKDAY(Horaires3567[[#This Row],[Date]],2)=6,MAX(0,Horaires3567[[#This Row],[PNP Fin corrigée]]-(1+deb_dimJF)),0))*24</f>
        <v>0</v>
      </c>
      <c r="R47" s="55">
        <f>(IF(COUNTIF(JF,Horaires3567[[#This Row],[Date]]),MAX(0,MIN(fin_dimJF,Horaires3567[[#This Row],[Fin corrigée si nuit]])-MAX(deb_dimJF,Horaires3567[[#This Row],[début]])),0)+IF(COUNTIF(JF,Horaires3567[[#This Row],[Date]]+1),MAX(0,Horaires3567[[#This Row],[Fin corrigée si nuit]]-(1+deb_dimJF)),0))*24</f>
        <v>0</v>
      </c>
      <c r="S47" s="55">
        <f>(IF(COUNTIF(JF,Horaires3567[[#This Row],[Date]]),MAX(0,MIN(fin_dimJF,Horaires3567[[#This Row],[Fin corrigée si nuit]])-MAX(deb_dimJF,Horaires3567[[#This Row],[début]])),0)+IF(COUNTIF(JF,Horaires3567[[#This Row],[Date]]+1),MAX(0,Horaires3567[[#This Row],[Fin corrigée si nuit]]-(1+deb_dimJF)),0))*24-
(IF(COUNTIF(JF,Horaires3567[[#This Row],[Date]]),MAX(0,MIN(fin_dimJF,Horaires3567[[#This Row],[PNP Fin corrigée]])-MAX(deb_dimJF,Horaires3567[[#This Row],[PNP Début corrigé]])),0)+IF(COUNTIF(JF,Horaires3567[[#This Row],[Date]]+1),MAX(0,Horaires3567[[#This Row],[PNP Fin corrigée]]-(1+deb_dimJF)),0))*24</f>
        <v>0</v>
      </c>
    </row>
    <row r="48" spans="1:19" x14ac:dyDescent="0.35">
      <c r="A48" s="5"/>
      <c r="B48" s="1"/>
      <c r="C48" s="2"/>
      <c r="D48" s="2"/>
      <c r="E48" s="3"/>
      <c r="F48" s="3"/>
      <c r="G48" s="3"/>
      <c r="H48" s="3"/>
      <c r="I48" s="51">
        <f>0.1*(Horaires3567[[#This Row],[Heures de nuit]]+Horaires3567[[#This Row],[heures jour dimanche]]+Horaires3567[[#This Row],[heures jour fériés]])</f>
        <v>0</v>
      </c>
      <c r="J48" s="52">
        <f>(MOD(Horaires3567[[#This Row],[Fin]]-Horaires3567[[#This Row],[début]],1)-MOD(Horaires3567[[#This Row],[PNP Fin]]-Horaires3567[[#This Row],[PNP Début]],1))*24</f>
        <v>0</v>
      </c>
      <c r="K48" s="53">
        <f>IF(Horaires3567[[#This Row],[PNP Début]]=0,0,IF(Horaires3567[[#This Row],[PNP Début]]&lt;Horaires3567[[#This Row],[début]],1,0)+Horaires3567[[#This Row],[PNP Début]])</f>
        <v>0</v>
      </c>
      <c r="L48" s="54">
        <f>IF(Horaires3567[[#This Row],[PNP Fin]]=0,0,IF(Horaires3567[[#This Row],[PNP Fin]]&lt;Horaires3567[[#This Row],[début]],1,0)+Horaires3567[[#This Row],[PNP Fin]])</f>
        <v>0</v>
      </c>
      <c r="M48" s="54">
        <f>IF(Horaires3567[[#This Row],[Fin]]&lt;Horaires3567[[#This Row],[début]],1,0)+Horaires3567[[#This Row],[Fin]]</f>
        <v>0</v>
      </c>
      <c r="N48" s="35">
        <f>IF(Horaires3567[[#This Row],[Fin]]&lt;Horaires3567[[#This Row],[début]],MAX(0,MIN(Horaires3567[[#This Row],[Fin corrigée si nuit]],fin_nuit)-MAX(Horaires3567[[#This Row],[début]],deb_nuit))*24,(MAX(deb_nuit,Horaires3567[[#This Row],[Fin]])-MAX(deb_nuit,Horaires3567[[#This Row],[début]])+MAX(MIN(fin_nuit-1,Horaires3567[[#This Row],[Fin]])-MIN(fin_nuit-1,Horaires3567[[#This Row],[début]]),0))*24)</f>
        <v>0</v>
      </c>
      <c r="O48" s="55">
        <f>(MAX(0,MIN(Horaires3567[[#This Row],[Fin corrigée si nuit]],fin_nuit)-MAX(Horaires3567[[#This Row],[début]],deb_nuit))-IF(Horaires3567[[#This Row],[PNP Début]]=0,0,MIN(Horaires3567[[#This Row],[PNP Fin corrigée]],fin_nuit)-MAX(Horaires3567[[#This Row],[PNP Début corrigé]],deb_nuit)))*24</f>
        <v>0</v>
      </c>
      <c r="P48" s="55">
        <f>(IF(WEEKDAY(Horaires3567[[#This Row],[Date]],2)=7,MAX(0,MIN(fin_dimJF,Horaires3567[[#This Row],[Fin corrigée si nuit]])-MAX(deb_dimJF,Horaires3567[[#This Row],[début]])),0)+IF(WEEKDAY(Horaires3567[[#This Row],[Date]],2)=6,MAX(0,Horaires3567[[#This Row],[Fin corrigée si nuit]]-(1+deb_dimJF)),0))*24</f>
        <v>0</v>
      </c>
      <c r="Q48" s="55">
        <f>(IF(WEEKDAY(Horaires3567[[#This Row],[Date]],2)=7,MAX(0,MIN(fin_dimJF,Horaires3567[[#This Row],[Fin corrigée si nuit]])-MAX(deb_dimJF,Horaires3567[[#This Row],[début]])),0)+IF(WEEKDAY(Horaires3567[[#This Row],[Date]],2)=6,MAX(0,Horaires3567[[#This Row],[Fin corrigée si nuit]]-(1+deb_dimJF)),0))*24-
(IF(WEEKDAY(Horaires3567[[#This Row],[Date]],2)=7,MAX(0,MIN(fin_dimJF,Horaires3567[[#This Row],[PNP Fin corrigée]])-MAX(deb_dimJF,Horaires3567[[#This Row],[PNP Début corrigé]])),0)+IF(WEEKDAY(Horaires3567[[#This Row],[Date]],2)=6,MAX(0,Horaires3567[[#This Row],[PNP Fin corrigée]]-(1+deb_dimJF)),0))*24</f>
        <v>0</v>
      </c>
      <c r="R48" s="55">
        <f>(IF(COUNTIF(JF,Horaires3567[[#This Row],[Date]]),MAX(0,MIN(fin_dimJF,Horaires3567[[#This Row],[Fin corrigée si nuit]])-MAX(deb_dimJF,Horaires3567[[#This Row],[début]])),0)+IF(COUNTIF(JF,Horaires3567[[#This Row],[Date]]+1),MAX(0,Horaires3567[[#This Row],[Fin corrigée si nuit]]-(1+deb_dimJF)),0))*24</f>
        <v>0</v>
      </c>
      <c r="S48" s="55">
        <f>(IF(COUNTIF(JF,Horaires3567[[#This Row],[Date]]),MAX(0,MIN(fin_dimJF,Horaires3567[[#This Row],[Fin corrigée si nuit]])-MAX(deb_dimJF,Horaires3567[[#This Row],[début]])),0)+IF(COUNTIF(JF,Horaires3567[[#This Row],[Date]]+1),MAX(0,Horaires3567[[#This Row],[Fin corrigée si nuit]]-(1+deb_dimJF)),0))*24-
(IF(COUNTIF(JF,Horaires3567[[#This Row],[Date]]),MAX(0,MIN(fin_dimJF,Horaires3567[[#This Row],[PNP Fin corrigée]])-MAX(deb_dimJF,Horaires3567[[#This Row],[PNP Début corrigé]])),0)+IF(COUNTIF(JF,Horaires3567[[#This Row],[Date]]+1),MAX(0,Horaires3567[[#This Row],[PNP Fin corrigée]]-(1+deb_dimJF)),0))*24</f>
        <v>0</v>
      </c>
    </row>
    <row r="49" spans="1:19" ht="15" thickBot="1" x14ac:dyDescent="0.4">
      <c r="A49" s="5"/>
      <c r="B49" s="1"/>
      <c r="C49" s="2"/>
      <c r="D49" s="2"/>
      <c r="E49" s="3"/>
      <c r="F49" s="3"/>
      <c r="G49" s="3"/>
      <c r="H49" s="3"/>
      <c r="I49" s="51">
        <f>0.1*(Horaires3567[[#This Row],[Heures de nuit]]+Horaires3567[[#This Row],[heures jour dimanche]]+Horaires3567[[#This Row],[heures jour fériés]])</f>
        <v>0</v>
      </c>
      <c r="J49" s="52">
        <f>(MOD(Horaires3567[[#This Row],[Fin]]-Horaires3567[[#This Row],[début]],1)-MOD(Horaires3567[[#This Row],[PNP Fin]]-Horaires3567[[#This Row],[PNP Début]],1))*24</f>
        <v>0</v>
      </c>
      <c r="K49" s="53">
        <f>IF(Horaires3567[[#This Row],[PNP Début]]=0,0,IF(Horaires3567[[#This Row],[PNP Début]]&lt;Horaires3567[[#This Row],[début]],1,0)+Horaires3567[[#This Row],[PNP Début]])</f>
        <v>0</v>
      </c>
      <c r="L49" s="54">
        <f>IF(Horaires3567[[#This Row],[PNP Fin]]=0,0,IF(Horaires3567[[#This Row],[PNP Fin]]&lt;Horaires3567[[#This Row],[début]],1,0)+Horaires3567[[#This Row],[PNP Fin]])</f>
        <v>0</v>
      </c>
      <c r="M49" s="54">
        <f>IF(Horaires3567[[#This Row],[Fin]]&lt;Horaires3567[[#This Row],[début]],1,0)+Horaires3567[[#This Row],[Fin]]</f>
        <v>0</v>
      </c>
      <c r="N49" s="35">
        <f>IF(Horaires3567[[#This Row],[Fin]]&lt;Horaires3567[[#This Row],[début]],MAX(0,MIN(Horaires3567[[#This Row],[Fin corrigée si nuit]],fin_nuit)-MAX(Horaires3567[[#This Row],[début]],deb_nuit))*24,(MAX(deb_nuit,Horaires3567[[#This Row],[Fin]])-MAX(deb_nuit,Horaires3567[[#This Row],[début]])+MAX(MIN(fin_nuit-1,Horaires3567[[#This Row],[Fin]])-MIN(fin_nuit-1,Horaires3567[[#This Row],[début]]),0))*24)</f>
        <v>0</v>
      </c>
      <c r="O49" s="55">
        <f>(MAX(0,MIN(Horaires3567[[#This Row],[Fin corrigée si nuit]],fin_nuit)-MAX(Horaires3567[[#This Row],[début]],deb_nuit))-IF(Horaires3567[[#This Row],[PNP Début]]=0,0,MIN(Horaires3567[[#This Row],[PNP Fin corrigée]],fin_nuit)-MAX(Horaires3567[[#This Row],[PNP Début corrigé]],deb_nuit)))*24</f>
        <v>0</v>
      </c>
      <c r="P49" s="55">
        <f>(IF(WEEKDAY(Horaires3567[[#This Row],[Date]],2)=7,MAX(0,MIN(fin_dimJF,Horaires3567[[#This Row],[Fin corrigée si nuit]])-MAX(deb_dimJF,Horaires3567[[#This Row],[début]])),0)+IF(WEEKDAY(Horaires3567[[#This Row],[Date]],2)=6,MAX(0,Horaires3567[[#This Row],[Fin corrigée si nuit]]-(1+deb_dimJF)),0))*24</f>
        <v>0</v>
      </c>
      <c r="Q49" s="55">
        <f>(IF(WEEKDAY(Horaires3567[[#This Row],[Date]],2)=7,MAX(0,MIN(fin_dimJF,Horaires3567[[#This Row],[Fin corrigée si nuit]])-MAX(deb_dimJF,Horaires3567[[#This Row],[début]])),0)+IF(WEEKDAY(Horaires3567[[#This Row],[Date]],2)=6,MAX(0,Horaires3567[[#This Row],[Fin corrigée si nuit]]-(1+deb_dimJF)),0))*24-
(IF(WEEKDAY(Horaires3567[[#This Row],[Date]],2)=7,MAX(0,MIN(fin_dimJF,Horaires3567[[#This Row],[PNP Fin corrigée]])-MAX(deb_dimJF,Horaires3567[[#This Row],[PNP Début corrigé]])),0)+IF(WEEKDAY(Horaires3567[[#This Row],[Date]],2)=6,MAX(0,Horaires3567[[#This Row],[PNP Fin corrigée]]-(1+deb_dimJF)),0))*24</f>
        <v>0</v>
      </c>
      <c r="R49" s="55">
        <f>(IF(COUNTIF(JF,Horaires3567[[#This Row],[Date]]),MAX(0,MIN(fin_dimJF,Horaires3567[[#This Row],[Fin corrigée si nuit]])-MAX(deb_dimJF,Horaires3567[[#This Row],[début]])),0)+IF(COUNTIF(JF,Horaires3567[[#This Row],[Date]]+1),MAX(0,Horaires3567[[#This Row],[Fin corrigée si nuit]]-(1+deb_dimJF)),0))*24</f>
        <v>0</v>
      </c>
      <c r="S49" s="55">
        <f>(IF(COUNTIF(JF,Horaires3567[[#This Row],[Date]]),MAX(0,MIN(fin_dimJF,Horaires3567[[#This Row],[Fin corrigée si nuit]])-MAX(deb_dimJF,Horaires3567[[#This Row],[début]])),0)+IF(COUNTIF(JF,Horaires3567[[#This Row],[Date]]+1),MAX(0,Horaires3567[[#This Row],[Fin corrigée si nuit]]-(1+deb_dimJF)),0))*24-
(IF(COUNTIF(JF,Horaires3567[[#This Row],[Date]]),MAX(0,MIN(fin_dimJF,Horaires3567[[#This Row],[PNP Fin corrigée]])-MAX(deb_dimJF,Horaires3567[[#This Row],[PNP Début corrigé]])),0)+IF(COUNTIF(JF,Horaires3567[[#This Row],[Date]]+1),MAX(0,Horaires3567[[#This Row],[PNP Fin corrigée]]-(1+deb_dimJF)),0))*24</f>
        <v>0</v>
      </c>
    </row>
    <row r="50" spans="1:19" ht="16" thickBot="1" x14ac:dyDescent="0.4">
      <c r="A50" s="56"/>
      <c r="B50" s="19"/>
      <c r="C50" s="19"/>
      <c r="D50" s="19"/>
      <c r="E50" s="113" t="s">
        <v>29</v>
      </c>
      <c r="F50" s="114"/>
      <c r="G50" s="114"/>
      <c r="H50" s="115"/>
      <c r="I50" s="57">
        <f>SUM(Horaires3567[Majoration])</f>
        <v>0</v>
      </c>
      <c r="J50" s="58">
        <f>SUM(Horaires3567[Heures totales payées])</f>
        <v>0</v>
      </c>
      <c r="K50" s="19"/>
      <c r="L50" s="19"/>
      <c r="M50" s="19"/>
      <c r="N50" s="19"/>
      <c r="O50" s="19"/>
      <c r="P50" s="19"/>
      <c r="Q50" s="19"/>
      <c r="R50" s="19"/>
      <c r="S50" s="19"/>
    </row>
    <row r="51" spans="1:19" ht="17.399999999999999" customHeight="1" x14ac:dyDescent="0.35">
      <c r="A51" s="116" t="s">
        <v>30</v>
      </c>
      <c r="B51" s="116"/>
      <c r="C51" s="116"/>
      <c r="D51" s="116"/>
      <c r="E51" s="19"/>
      <c r="F51" s="19"/>
      <c r="G51" s="117" t="s">
        <v>31</v>
      </c>
      <c r="H51" s="117"/>
      <c r="I51" s="117"/>
      <c r="J51" s="117"/>
      <c r="K51" s="19"/>
      <c r="L51" s="19"/>
      <c r="M51" s="19"/>
      <c r="N51" s="19"/>
      <c r="O51" s="19"/>
      <c r="P51" s="19"/>
      <c r="Q51" s="19"/>
      <c r="R51" s="19"/>
      <c r="S51" s="19"/>
    </row>
    <row r="52" spans="1:19" x14ac:dyDescent="0.35">
      <c r="A52" s="118"/>
      <c r="B52" s="119"/>
      <c r="C52" s="119"/>
      <c r="D52" s="120"/>
      <c r="E52" s="56"/>
      <c r="F52" s="19"/>
      <c r="G52" s="118"/>
      <c r="H52" s="119"/>
      <c r="I52" s="119"/>
      <c r="J52" s="119"/>
      <c r="K52" s="19"/>
      <c r="L52" s="19"/>
      <c r="M52" s="19"/>
      <c r="N52" s="19"/>
      <c r="O52" s="19"/>
      <c r="P52" s="19"/>
      <c r="Q52" s="19"/>
      <c r="R52" s="19"/>
      <c r="S52" s="19"/>
    </row>
    <row r="53" spans="1:19" x14ac:dyDescent="0.35">
      <c r="A53" s="121"/>
      <c r="B53" s="122"/>
      <c r="C53" s="122"/>
      <c r="D53" s="123"/>
      <c r="E53" s="19"/>
      <c r="F53" s="19"/>
      <c r="G53" s="121"/>
      <c r="H53" s="122"/>
      <c r="I53" s="122"/>
      <c r="J53" s="122"/>
      <c r="K53" s="19"/>
      <c r="L53" s="19"/>
      <c r="M53" s="19"/>
      <c r="N53" s="19"/>
      <c r="O53" s="19"/>
      <c r="P53" s="19"/>
      <c r="Q53" s="19"/>
      <c r="R53" s="19"/>
      <c r="S53" s="19"/>
    </row>
    <row r="54" spans="1:19" ht="7.75" customHeight="1" x14ac:dyDescent="0.35">
      <c r="A54" s="124"/>
      <c r="B54" s="125"/>
      <c r="C54" s="125"/>
      <c r="D54" s="126"/>
      <c r="E54" s="56"/>
      <c r="F54" s="19"/>
      <c r="G54" s="124"/>
      <c r="H54" s="125"/>
      <c r="I54" s="125"/>
      <c r="J54" s="125"/>
      <c r="K54" s="19"/>
      <c r="L54" s="19"/>
      <c r="M54" s="19"/>
      <c r="N54" s="19"/>
      <c r="O54" s="19"/>
      <c r="P54" s="19"/>
      <c r="Q54" s="19"/>
      <c r="R54" s="19"/>
      <c r="S54" s="19"/>
    </row>
    <row r="55" spans="1:19" x14ac:dyDescent="0.35">
      <c r="A55" s="56"/>
      <c r="B55" s="19"/>
      <c r="C55" s="19"/>
      <c r="D55" s="19"/>
      <c r="E55" s="19"/>
      <c r="F55" s="19"/>
      <c r="G55" s="19"/>
      <c r="H55" s="19"/>
      <c r="I55" s="19"/>
      <c r="J55" s="61"/>
      <c r="K55" s="19"/>
      <c r="L55" s="19"/>
      <c r="M55" s="19"/>
      <c r="N55" s="19"/>
      <c r="O55" s="19"/>
      <c r="P55" s="19"/>
      <c r="Q55" s="19"/>
      <c r="R55" s="19"/>
      <c r="S55" s="19"/>
    </row>
    <row r="56" spans="1:19" x14ac:dyDescent="0.35">
      <c r="A56" s="19"/>
      <c r="B56" s="19"/>
      <c r="C56" s="19"/>
      <c r="D56" s="19"/>
      <c r="E56" s="19"/>
      <c r="F56" s="19"/>
      <c r="G56" s="19"/>
      <c r="H56" s="19"/>
      <c r="I56" s="19"/>
      <c r="J56" s="20"/>
      <c r="K56" s="19"/>
      <c r="L56" s="19"/>
      <c r="M56" s="19"/>
      <c r="N56" s="19"/>
      <c r="O56" s="19"/>
      <c r="P56" s="19"/>
      <c r="Q56" s="19"/>
      <c r="R56" s="19"/>
      <c r="S56" s="19"/>
    </row>
    <row r="57" spans="1:19" x14ac:dyDescent="0.35">
      <c r="A57" s="19"/>
      <c r="B57" s="19"/>
      <c r="C57" s="19"/>
      <c r="D57" s="19"/>
      <c r="E57" s="19"/>
      <c r="F57" s="19"/>
      <c r="G57" s="19"/>
      <c r="H57" s="19"/>
      <c r="I57" s="19"/>
      <c r="J57" s="20"/>
      <c r="K57" s="19"/>
      <c r="L57" s="19"/>
      <c r="M57" s="19"/>
      <c r="N57" s="19"/>
      <c r="O57" s="19"/>
      <c r="P57" s="19"/>
      <c r="Q57" s="19"/>
      <c r="R57" s="19"/>
      <c r="S57" s="19"/>
    </row>
    <row r="58" spans="1:19" x14ac:dyDescent="0.35">
      <c r="A58" s="19"/>
      <c r="B58" s="19"/>
      <c r="C58" s="19"/>
      <c r="D58" s="19"/>
      <c r="E58" s="19"/>
      <c r="F58" s="19"/>
      <c r="G58" s="19"/>
      <c r="H58" s="19"/>
      <c r="I58" s="19"/>
      <c r="J58" s="20"/>
      <c r="K58" s="19"/>
      <c r="L58" s="19"/>
      <c r="M58" s="19"/>
      <c r="N58" s="19"/>
      <c r="O58" s="19"/>
      <c r="P58" s="19"/>
      <c r="Q58" s="19"/>
      <c r="R58" s="19"/>
      <c r="S58" s="19"/>
    </row>
    <row r="59" spans="1:19" x14ac:dyDescent="0.35">
      <c r="A59" s="19"/>
      <c r="B59" s="19"/>
      <c r="C59" s="19"/>
      <c r="D59" s="19"/>
      <c r="E59" s="19"/>
      <c r="F59" s="19"/>
      <c r="G59" s="19"/>
      <c r="H59" s="19"/>
      <c r="I59" s="19"/>
      <c r="J59" s="20"/>
      <c r="K59" s="19"/>
      <c r="L59" s="19"/>
      <c r="M59" s="19"/>
      <c r="N59" s="19"/>
      <c r="O59" s="19"/>
      <c r="P59" s="19"/>
      <c r="Q59" s="19"/>
      <c r="R59" s="19"/>
      <c r="S59" s="19"/>
    </row>
    <row r="60" spans="1:19" x14ac:dyDescent="0.35">
      <c r="A60" s="19"/>
      <c r="B60" s="19"/>
      <c r="C60" s="19"/>
      <c r="D60" s="19"/>
      <c r="E60" s="19"/>
      <c r="F60" s="19"/>
      <c r="G60" s="19"/>
      <c r="H60" s="19"/>
      <c r="I60" s="19"/>
      <c r="J60" s="20"/>
      <c r="K60" s="19"/>
      <c r="L60" s="19"/>
      <c r="M60" s="19"/>
      <c r="N60" s="19"/>
      <c r="O60" s="19"/>
      <c r="P60" s="19"/>
      <c r="Q60" s="19"/>
      <c r="R60" s="19"/>
      <c r="S60" s="19"/>
    </row>
  </sheetData>
  <sheetProtection selectLockedCells="1"/>
  <mergeCells count="19">
    <mergeCell ref="E50:H50"/>
    <mergeCell ref="A51:D51"/>
    <mergeCell ref="G51:J51"/>
    <mergeCell ref="A52:D54"/>
    <mergeCell ref="G52:J54"/>
    <mergeCell ref="A1:B2"/>
    <mergeCell ref="A3:J4"/>
    <mergeCell ref="D5:F5"/>
    <mergeCell ref="G5:H5"/>
    <mergeCell ref="J9:J11"/>
    <mergeCell ref="C10:C11"/>
    <mergeCell ref="D10:D11"/>
    <mergeCell ref="E10:F10"/>
    <mergeCell ref="G10:H10"/>
    <mergeCell ref="A9:A11"/>
    <mergeCell ref="B9:B11"/>
    <mergeCell ref="C9:D9"/>
    <mergeCell ref="E9:H9"/>
    <mergeCell ref="I9:I11"/>
  </mergeCells>
  <dataValidations count="3">
    <dataValidation type="date" operator="greaterThan" allowBlank="1" showInputMessage="1" showErrorMessage="1" error="Tapez le mois sous le format suivant_x000a_09/17" promptTitle="Mois du relevé" sqref="J5">
      <formula1>42736</formula1>
    </dataValidation>
    <dataValidation type="time" allowBlank="1" showInputMessage="1" showErrorMessage="1" error="Tapez les heures sous le format_x000a_00:00" sqref="C13:H49">
      <formula1>0</formula1>
      <formula2>0.999305555555556</formula2>
    </dataValidation>
    <dataValidation allowBlank="1" showInputMessage="1" showErrorMessage="1" error="Tapez les heures sous le format_x000a_00:00" sqref="K12:N49"/>
  </dataValidations>
  <printOptions horizontalCentered="1"/>
  <pageMargins left="0" right="0" top="0" bottom="0" header="0" footer="0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5121" r:id="rId4" name="CommandButton1">
          <controlPr defaultSize="0" print="0" autoLine="0" r:id="rId5">
            <anchor moveWithCells="1">
              <from>
                <xdr:col>9</xdr:col>
                <xdr:colOff>762000</xdr:colOff>
                <xdr:row>0</xdr:row>
                <xdr:rowOff>152400</xdr:rowOff>
              </from>
              <to>
                <xdr:col>20</xdr:col>
                <xdr:colOff>6350</xdr:colOff>
                <xdr:row>4</xdr:row>
                <xdr:rowOff>50800</xdr:rowOff>
              </to>
            </anchor>
          </controlPr>
        </control>
      </mc:Choice>
      <mc:Fallback>
        <control shapeId="5121" r:id="rId4" name="CommandButton1"/>
      </mc:Fallback>
    </mc:AlternateContent>
  </controls>
  <tableParts count="1">
    <tablePart r:id="rId6"/>
  </tableParts>
</worksheet>
</file>

<file path=xl/worksheets/sheet6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6"/>
  <dimension ref="A1:S60"/>
  <sheetViews>
    <sheetView workbookViewId="0">
      <selection activeCell="T5" sqref="T5"/>
    </sheetView>
  </sheetViews>
  <sheetFormatPr baseColWidth="10" defaultRowHeight="14.5" x14ac:dyDescent="0.35"/>
  <cols>
    <col min="1" max="1" width="20.1796875" customWidth="1"/>
    <col min="2" max="2" width="12.90625" customWidth="1"/>
    <col min="3" max="3" width="8.90625" customWidth="1"/>
    <col min="4" max="4" width="7.453125" customWidth="1"/>
    <col min="5" max="5" width="7" customWidth="1"/>
    <col min="6" max="6" width="6.81640625" customWidth="1"/>
    <col min="7" max="7" width="7" customWidth="1"/>
    <col min="8" max="8" width="7.81640625" customWidth="1"/>
    <col min="9" max="9" width="10.81640625" customWidth="1"/>
    <col min="10" max="10" width="11.54296875" style="15" customWidth="1"/>
    <col min="11" max="11" width="14.453125" hidden="1" customWidth="1"/>
    <col min="12" max="12" width="12.08984375" hidden="1" customWidth="1"/>
    <col min="13" max="13" width="15" hidden="1" customWidth="1"/>
    <col min="14" max="15" width="13.81640625" hidden="1" customWidth="1"/>
    <col min="16" max="19" width="15" hidden="1" customWidth="1"/>
  </cols>
  <sheetData>
    <row r="1" spans="1:19" ht="15.65" customHeight="1" x14ac:dyDescent="0.35">
      <c r="A1" s="101" t="s">
        <v>48</v>
      </c>
      <c r="B1" s="101"/>
      <c r="C1" s="16"/>
      <c r="D1" s="16"/>
      <c r="E1" s="17"/>
      <c r="F1" s="17"/>
      <c r="G1" s="17"/>
      <c r="H1" s="18" t="s">
        <v>35</v>
      </c>
      <c r="I1" s="18"/>
      <c r="J1" s="18"/>
      <c r="K1" s="16"/>
      <c r="L1" s="16"/>
      <c r="M1" s="16"/>
      <c r="N1" s="16"/>
      <c r="O1" s="19"/>
      <c r="P1" s="19"/>
      <c r="Q1" s="19"/>
      <c r="R1" s="19"/>
      <c r="S1" s="19"/>
    </row>
    <row r="2" spans="1:19" ht="14.4" customHeight="1" x14ac:dyDescent="0.35">
      <c r="A2" s="101"/>
      <c r="B2" s="101"/>
      <c r="C2" s="16"/>
      <c r="D2" s="16"/>
      <c r="E2" s="16"/>
      <c r="F2" s="16"/>
      <c r="G2" s="16"/>
      <c r="H2" s="16"/>
      <c r="I2" s="16"/>
      <c r="J2" s="20"/>
      <c r="K2" s="16"/>
      <c r="L2" s="16"/>
      <c r="M2" s="16"/>
      <c r="N2" s="16"/>
      <c r="O2" s="19"/>
      <c r="P2" s="19"/>
      <c r="Q2" s="19"/>
      <c r="R2" s="19"/>
      <c r="S2" s="19"/>
    </row>
    <row r="3" spans="1:19" ht="14.4" customHeight="1" x14ac:dyDescent="0.35">
      <c r="A3" s="102" t="s">
        <v>37</v>
      </c>
      <c r="B3" s="102"/>
      <c r="C3" s="102"/>
      <c r="D3" s="102"/>
      <c r="E3" s="102"/>
      <c r="F3" s="102"/>
      <c r="G3" s="102"/>
      <c r="H3" s="102"/>
      <c r="I3" s="102"/>
      <c r="J3" s="102"/>
      <c r="K3" s="16"/>
      <c r="L3" s="16"/>
      <c r="M3" s="16"/>
      <c r="N3" s="16"/>
      <c r="O3" s="19"/>
      <c r="P3" s="19"/>
      <c r="Q3" s="19"/>
      <c r="R3" s="19"/>
      <c r="S3" s="19"/>
    </row>
    <row r="4" spans="1:19" ht="19.25" customHeight="1" thickBot="1" x14ac:dyDescent="0.4">
      <c r="A4" s="103"/>
      <c r="B4" s="103"/>
      <c r="C4" s="103"/>
      <c r="D4" s="103"/>
      <c r="E4" s="103"/>
      <c r="F4" s="103"/>
      <c r="G4" s="103"/>
      <c r="H4" s="103"/>
      <c r="I4" s="103"/>
      <c r="J4" s="103"/>
      <c r="K4" s="19"/>
      <c r="L4" s="19"/>
      <c r="M4" s="19"/>
      <c r="N4" s="19"/>
      <c r="O4" s="19"/>
      <c r="P4" s="19"/>
      <c r="Q4" s="19"/>
      <c r="R4" s="19"/>
      <c r="S4" s="19"/>
    </row>
    <row r="5" spans="1:19" ht="19.75" customHeight="1" x14ac:dyDescent="0.35">
      <c r="A5" s="95" t="s">
        <v>49</v>
      </c>
      <c r="B5" s="96">
        <f>'Janvier 18'!B5</f>
        <v>0</v>
      </c>
      <c r="C5" s="21" t="s">
        <v>36</v>
      </c>
      <c r="D5" s="104">
        <f>'Janvier 18'!D5:F5</f>
        <v>0</v>
      </c>
      <c r="E5" s="105"/>
      <c r="F5" s="105"/>
      <c r="G5" s="106" t="s">
        <v>22</v>
      </c>
      <c r="H5" s="106"/>
      <c r="I5" s="64" t="str">
        <f ca="1">MID(CELL("filename",A1),FIND("]",CELL("filename",A1))+1,99)</f>
        <v>Mars 18</v>
      </c>
      <c r="J5" s="97"/>
      <c r="K5" s="19"/>
      <c r="L5" s="19"/>
      <c r="M5" s="19"/>
      <c r="N5" s="19"/>
      <c r="O5" s="19"/>
      <c r="P5" s="19"/>
      <c r="Q5" s="19"/>
      <c r="R5" s="19"/>
      <c r="S5" s="19"/>
    </row>
    <row r="6" spans="1:19" ht="9.65" customHeight="1" x14ac:dyDescent="0.35">
      <c r="A6" s="22"/>
      <c r="B6" s="23"/>
      <c r="C6" s="23"/>
      <c r="D6" s="23"/>
      <c r="E6" s="23"/>
      <c r="F6" s="23"/>
      <c r="G6" s="23"/>
      <c r="H6" s="23"/>
      <c r="I6" s="23"/>
      <c r="J6" s="24"/>
      <c r="K6" s="19"/>
      <c r="L6" s="19"/>
      <c r="M6" s="19"/>
      <c r="N6" s="19"/>
      <c r="O6" s="19"/>
      <c r="P6" s="19"/>
      <c r="Q6" s="19"/>
      <c r="R6" s="19"/>
      <c r="S6" s="19"/>
    </row>
    <row r="7" spans="1:19" ht="15" thickBot="1" x14ac:dyDescent="0.4">
      <c r="A7" s="59" t="s">
        <v>23</v>
      </c>
      <c r="B7" s="98">
        <f>'Janvier 18'!B7</f>
        <v>0</v>
      </c>
      <c r="C7" s="25" t="s">
        <v>24</v>
      </c>
      <c r="D7" s="25"/>
      <c r="E7" s="98">
        <f>'Janvier 18'!E7</f>
        <v>0</v>
      </c>
      <c r="F7" s="25"/>
      <c r="G7" s="25"/>
      <c r="H7" s="25"/>
      <c r="I7" s="25"/>
      <c r="J7" s="26"/>
      <c r="K7" s="19"/>
      <c r="L7" s="19"/>
      <c r="M7" s="19"/>
      <c r="N7" s="19"/>
      <c r="O7" s="19"/>
      <c r="P7" s="19"/>
      <c r="Q7" s="19"/>
      <c r="R7" s="19"/>
      <c r="S7" s="19"/>
    </row>
    <row r="8" spans="1:19" ht="9.65" customHeight="1" x14ac:dyDescent="0.35">
      <c r="A8" s="19"/>
      <c r="B8" s="19"/>
      <c r="C8" s="19"/>
      <c r="D8" s="19"/>
      <c r="E8" s="19"/>
      <c r="F8" s="19"/>
      <c r="G8" s="19"/>
      <c r="H8" s="19"/>
      <c r="I8" s="19"/>
      <c r="J8" s="20"/>
      <c r="K8" s="19"/>
      <c r="L8" s="19"/>
      <c r="M8" s="19"/>
      <c r="N8" s="19"/>
      <c r="O8" s="19"/>
      <c r="P8" s="19"/>
      <c r="Q8" s="19"/>
      <c r="R8" s="19"/>
      <c r="S8" s="19"/>
    </row>
    <row r="9" spans="1:19" ht="16.75" customHeight="1" x14ac:dyDescent="0.35">
      <c r="A9" s="111" t="s">
        <v>0</v>
      </c>
      <c r="B9" s="111" t="s">
        <v>1</v>
      </c>
      <c r="C9" s="111" t="s">
        <v>2</v>
      </c>
      <c r="D9" s="111"/>
      <c r="E9" s="110" t="s">
        <v>25</v>
      </c>
      <c r="F9" s="110"/>
      <c r="G9" s="110"/>
      <c r="H9" s="110"/>
      <c r="I9" s="112" t="s">
        <v>21</v>
      </c>
      <c r="J9" s="108" t="s">
        <v>65</v>
      </c>
      <c r="K9" s="19"/>
      <c r="L9" s="19"/>
      <c r="M9" s="19"/>
      <c r="N9" s="19"/>
      <c r="O9" s="19"/>
      <c r="P9" s="19"/>
      <c r="Q9" s="19"/>
      <c r="R9" s="19"/>
      <c r="S9" s="19"/>
    </row>
    <row r="10" spans="1:19" x14ac:dyDescent="0.35">
      <c r="A10" s="111"/>
      <c r="B10" s="111"/>
      <c r="C10" s="109" t="s">
        <v>3</v>
      </c>
      <c r="D10" s="109" t="s">
        <v>4</v>
      </c>
      <c r="E10" s="110" t="s">
        <v>26</v>
      </c>
      <c r="F10" s="110"/>
      <c r="G10" s="110" t="s">
        <v>27</v>
      </c>
      <c r="H10" s="110"/>
      <c r="I10" s="112"/>
      <c r="J10" s="108"/>
      <c r="K10" s="19"/>
      <c r="L10" s="19"/>
      <c r="M10" s="19"/>
      <c r="N10" s="19"/>
      <c r="O10" s="19"/>
      <c r="P10" s="19"/>
      <c r="Q10" s="19"/>
      <c r="R10" s="19"/>
      <c r="S10" s="19"/>
    </row>
    <row r="11" spans="1:19" x14ac:dyDescent="0.35">
      <c r="A11" s="111"/>
      <c r="B11" s="111"/>
      <c r="C11" s="109"/>
      <c r="D11" s="109"/>
      <c r="E11" s="72" t="s">
        <v>28</v>
      </c>
      <c r="F11" s="72" t="s">
        <v>4</v>
      </c>
      <c r="G11" s="72" t="s">
        <v>28</v>
      </c>
      <c r="H11" s="72" t="s">
        <v>4</v>
      </c>
      <c r="I11" s="112"/>
      <c r="J11" s="108"/>
      <c r="K11" s="27"/>
      <c r="L11" s="19"/>
      <c r="M11" s="19"/>
      <c r="N11" s="19"/>
      <c r="O11" s="19"/>
      <c r="P11" s="19"/>
      <c r="Q11" s="19"/>
      <c r="R11" s="19"/>
      <c r="S11" s="19"/>
    </row>
    <row r="12" spans="1:19" s="8" customFormat="1" ht="43.5" hidden="1" x14ac:dyDescent="0.35">
      <c r="A12" s="28" t="s">
        <v>0</v>
      </c>
      <c r="B12" s="29" t="s">
        <v>1</v>
      </c>
      <c r="C12" s="29" t="s">
        <v>3</v>
      </c>
      <c r="D12" s="29" t="s">
        <v>4</v>
      </c>
      <c r="E12" s="29" t="s">
        <v>8</v>
      </c>
      <c r="F12" s="29" t="s">
        <v>9</v>
      </c>
      <c r="G12" s="29" t="s">
        <v>10</v>
      </c>
      <c r="H12" s="29" t="s">
        <v>11</v>
      </c>
      <c r="I12" s="30" t="s">
        <v>21</v>
      </c>
      <c r="J12" s="29" t="s">
        <v>12</v>
      </c>
      <c r="K12" s="29" t="s">
        <v>18</v>
      </c>
      <c r="L12" s="29" t="s">
        <v>19</v>
      </c>
      <c r="M12" s="29" t="s">
        <v>17</v>
      </c>
      <c r="N12" s="29" t="s">
        <v>32</v>
      </c>
      <c r="O12" s="29" t="s">
        <v>20</v>
      </c>
      <c r="P12" s="29" t="s">
        <v>5</v>
      </c>
      <c r="Q12" s="29" t="s">
        <v>33</v>
      </c>
      <c r="R12" s="31" t="s">
        <v>6</v>
      </c>
      <c r="S12" s="31" t="s">
        <v>34</v>
      </c>
    </row>
    <row r="13" spans="1:19" x14ac:dyDescent="0.35">
      <c r="A13" s="5"/>
      <c r="B13" s="1"/>
      <c r="C13" s="2"/>
      <c r="D13" s="2"/>
      <c r="E13" s="3"/>
      <c r="F13" s="3"/>
      <c r="G13" s="3"/>
      <c r="H13" s="3"/>
      <c r="I13" s="32">
        <f>0.1*(Horaires35673[[#This Row],[Heures de nuit]]+Horaires35673[[#This Row],[heures jour dimanche]]+Horaires35673[[#This Row],[heures jour fériés]])</f>
        <v>0</v>
      </c>
      <c r="J13" s="33">
        <f>(MOD(Horaires35673[[#This Row],[Fin]]-Horaires35673[[#This Row],[début]],1)-MOD(Horaires35673[[#This Row],[PNP Fin]]-Horaires35673[[#This Row],[PNP Début]],1))*24</f>
        <v>0</v>
      </c>
      <c r="K13" s="34">
        <f>IF(Horaires35673[[#This Row],[PNP Début]]=0,0,IF(Horaires35673[[#This Row],[PNP Début]]&lt;Horaires35673[[#This Row],[début]],1,0)+Horaires35673[[#This Row],[PNP Début]])</f>
        <v>0</v>
      </c>
      <c r="L13" s="34">
        <f>IF(Horaires35673[[#This Row],[PNP Fin]]=0,0,IF(Horaires35673[[#This Row],[PNP Fin]]&lt;Horaires35673[[#This Row],[début]],1,0)+Horaires35673[[#This Row],[PNP Fin]])</f>
        <v>0</v>
      </c>
      <c r="M13" s="34">
        <f>IF(Horaires35673[[#This Row],[Fin]]&lt;Horaires35673[[#This Row],[début]],1,0)+Horaires35673[[#This Row],[Fin]]</f>
        <v>0</v>
      </c>
      <c r="N13" s="35">
        <f>IF(Horaires35673[[#This Row],[Fin]]&lt;Horaires35673[[#This Row],[début]],MAX(0,MIN(Horaires35673[[#This Row],[Fin corrigée si nuit]],fin_nuit)-MAX(Horaires35673[[#This Row],[début]],deb_nuit))*24,(MAX(deb_nuit,Horaires35673[[#This Row],[Fin]])-MAX(deb_nuit,Horaires35673[[#This Row],[début]])+MAX(MIN(fin_nuit-1,Horaires35673[[#This Row],[Fin]])-MIN(fin_nuit-1,Horaires35673[[#This Row],[début]]),0))*24)</f>
        <v>0</v>
      </c>
      <c r="O13" s="35">
        <f>(MAX(0,MIN(Horaires35673[[#This Row],[Fin corrigée si nuit]],fin_nuit)-MAX(Horaires35673[[#This Row],[début]],deb_nuit))-IF(Horaires35673[[#This Row],[PNP Début]]=0,0,MIN(Horaires35673[[#This Row],[PNP Fin corrigée]],fin_nuit)-MAX(Horaires35673[[#This Row],[PNP Début corrigé]],deb_nuit)))*24</f>
        <v>0</v>
      </c>
      <c r="P13" s="35">
        <f>(IF(WEEKDAY(Horaires35673[[#This Row],[Date]],2)=7,MAX(0,MIN(fin_dimJF,Horaires35673[[#This Row],[Fin corrigée si nuit]])-MAX(deb_dimJF,Horaires35673[[#This Row],[début]])),0)+IF(WEEKDAY(Horaires35673[[#This Row],[Date]],2)=6,MAX(0,Horaires35673[[#This Row],[Fin corrigée si nuit]]-(1+deb_dimJF)),0))*24</f>
        <v>0</v>
      </c>
      <c r="Q13" s="35">
        <f>(IF(WEEKDAY(Horaires35673[[#This Row],[Date]],2)=7,MAX(0,MIN(fin_dimJF,Horaires35673[[#This Row],[Fin corrigée si nuit]])-MAX(deb_dimJF,Horaires35673[[#This Row],[début]])),0)+IF(WEEKDAY(Horaires35673[[#This Row],[Date]],2)=6,MAX(0,Horaires35673[[#This Row],[Fin corrigée si nuit]]-(1+deb_dimJF)),0))*24-
(IF(WEEKDAY(Horaires35673[[#This Row],[Date]],2)=7,MAX(0,MIN(fin_dimJF,Horaires35673[[#This Row],[PNP Fin corrigée]])-MAX(deb_dimJF,Horaires35673[[#This Row],[PNP Début corrigé]])),0)+IF(WEEKDAY(Horaires35673[[#This Row],[Date]],2)=6,MAX(0,Horaires35673[[#This Row],[PNP Fin corrigée]]-(1+deb_dimJF)),0))*24</f>
        <v>0</v>
      </c>
      <c r="R13" s="36">
        <f>(IF(COUNTIF(JF,Horaires35673[[#This Row],[Date]]),MAX(0,MIN(fin_dimJF,Horaires35673[[#This Row],[Fin corrigée si nuit]])-MAX(deb_dimJF,Horaires35673[[#This Row],[début]])),0)+IF(COUNTIF(JF,Horaires35673[[#This Row],[Date]]+1),MAX(0,Horaires35673[[#This Row],[Fin corrigée si nuit]]-(1+deb_dimJF)),0))*24</f>
        <v>0</v>
      </c>
      <c r="S13" s="36">
        <f>(IF(COUNTIF(JF,Horaires35673[[#This Row],[Date]]),MAX(0,MIN(fin_dimJF,Horaires35673[[#This Row],[Fin corrigée si nuit]])-MAX(deb_dimJF,Horaires35673[[#This Row],[début]])),0)+IF(COUNTIF(JF,Horaires35673[[#This Row],[Date]]+1),MAX(0,Horaires35673[[#This Row],[Fin corrigée si nuit]]-(1+deb_dimJF)),0))*24-
(IF(COUNTIF(JF,Horaires35673[[#This Row],[Date]]),MAX(0,MIN(fin_dimJF,Horaires35673[[#This Row],[PNP Fin corrigée]])-MAX(deb_dimJF,Horaires35673[[#This Row],[PNP Début corrigé]])),0)+IF(COUNTIF(JF,Horaires35673[[#This Row],[Date]]+1),MAX(0,Horaires35673[[#This Row],[PNP Fin corrigée]]-(1+deb_dimJF)),0))*24</f>
        <v>0</v>
      </c>
    </row>
    <row r="14" spans="1:19" x14ac:dyDescent="0.35">
      <c r="A14" s="5"/>
      <c r="B14" s="1"/>
      <c r="C14" s="2"/>
      <c r="D14" s="2"/>
      <c r="E14" s="3"/>
      <c r="F14" s="3"/>
      <c r="G14" s="3"/>
      <c r="H14" s="3"/>
      <c r="I14" s="32">
        <f>0.1*(Horaires35673[[#This Row],[Heures de nuit]]+Horaires35673[[#This Row],[heures jour dimanche]]+Horaires35673[[#This Row],[heures jour fériés]])</f>
        <v>0</v>
      </c>
      <c r="J14" s="33">
        <f>(MOD(Horaires35673[[#This Row],[Fin]]-Horaires35673[[#This Row],[début]],1)-MOD(Horaires35673[[#This Row],[PNP Fin]]-Horaires35673[[#This Row],[PNP Début]],1))*24</f>
        <v>0</v>
      </c>
      <c r="K14" s="34">
        <f>IF(Horaires35673[[#This Row],[PNP Début]]=0,0,IF(Horaires35673[[#This Row],[PNP Début]]&lt;Horaires35673[[#This Row],[début]],1,0)+Horaires35673[[#This Row],[PNP Début]])</f>
        <v>0</v>
      </c>
      <c r="L14" s="34">
        <f>IF(Horaires35673[[#This Row],[PNP Fin]]=0,0,IF(Horaires35673[[#This Row],[PNP Fin]]&lt;Horaires35673[[#This Row],[début]],1,0)+Horaires35673[[#This Row],[PNP Fin]])</f>
        <v>0</v>
      </c>
      <c r="M14" s="34">
        <f>IF(Horaires35673[[#This Row],[Fin]]&lt;Horaires35673[[#This Row],[début]],1,0)+Horaires35673[[#This Row],[Fin]]</f>
        <v>0</v>
      </c>
      <c r="N14" s="35">
        <f>IF(Horaires35673[[#This Row],[Fin]]&lt;Horaires35673[[#This Row],[début]],MAX(0,MIN(Horaires35673[[#This Row],[Fin corrigée si nuit]],fin_nuit)-MAX(Horaires35673[[#This Row],[début]],deb_nuit))*24,(MAX(deb_nuit,Horaires35673[[#This Row],[Fin]])-MAX(deb_nuit,Horaires35673[[#This Row],[début]])+MAX(MIN(fin_nuit-1,Horaires35673[[#This Row],[Fin]])-MIN(fin_nuit-1,Horaires35673[[#This Row],[début]]),0))*24)</f>
        <v>0</v>
      </c>
      <c r="O14" s="35">
        <f>(MAX(0,MIN(Horaires35673[[#This Row],[Fin corrigée si nuit]],fin_nuit)-MAX(Horaires35673[[#This Row],[début]],deb_nuit))-IF(Horaires35673[[#This Row],[PNP Début]]=0,0,MIN(Horaires35673[[#This Row],[PNP Fin corrigée]],fin_nuit)-MAX(Horaires35673[[#This Row],[PNP Début corrigé]],deb_nuit)))*24</f>
        <v>0</v>
      </c>
      <c r="P14" s="35">
        <f>(IF(WEEKDAY(Horaires35673[[#This Row],[Date]],2)=7,MAX(0,MIN(fin_dimJF,Horaires35673[[#This Row],[Fin corrigée si nuit]])-MAX(deb_dimJF,Horaires35673[[#This Row],[début]])),0)+IF(WEEKDAY(Horaires35673[[#This Row],[Date]],2)=6,MAX(0,Horaires35673[[#This Row],[Fin corrigée si nuit]]-(1+deb_dimJF)),0))*24</f>
        <v>0</v>
      </c>
      <c r="Q14" s="35">
        <f>(IF(WEEKDAY(Horaires35673[[#This Row],[Date]],2)=7,MAX(0,MIN(fin_dimJF,Horaires35673[[#This Row],[Fin corrigée si nuit]])-MAX(deb_dimJF,Horaires35673[[#This Row],[début]])),0)+IF(WEEKDAY(Horaires35673[[#This Row],[Date]],2)=6,MAX(0,Horaires35673[[#This Row],[Fin corrigée si nuit]]-(1+deb_dimJF)),0))*24-
(IF(WEEKDAY(Horaires35673[[#This Row],[Date]],2)=7,MAX(0,MIN(fin_dimJF,Horaires35673[[#This Row],[PNP Fin corrigée]])-MAX(deb_dimJF,Horaires35673[[#This Row],[PNP Début corrigé]])),0)+IF(WEEKDAY(Horaires35673[[#This Row],[Date]],2)=6,MAX(0,Horaires35673[[#This Row],[PNP Fin corrigée]]-(1+deb_dimJF)),0))*24</f>
        <v>0</v>
      </c>
      <c r="R14" s="36">
        <f>(IF(COUNTIF(JF,Horaires35673[[#This Row],[Date]]),MAX(0,MIN(fin_dimJF,Horaires35673[[#This Row],[Fin corrigée si nuit]])-MAX(deb_dimJF,Horaires35673[[#This Row],[début]])),0)+IF(COUNTIF(JF,Horaires35673[[#This Row],[Date]]+1),MAX(0,Horaires35673[[#This Row],[Fin corrigée si nuit]]-(1+deb_dimJF)),0))*24</f>
        <v>0</v>
      </c>
      <c r="S14" s="36">
        <f>(IF(COUNTIF(JF,Horaires35673[[#This Row],[Date]]),MAX(0,MIN(fin_dimJF,Horaires35673[[#This Row],[Fin corrigée si nuit]])-MAX(deb_dimJF,Horaires35673[[#This Row],[début]])),0)+IF(COUNTIF(JF,Horaires35673[[#This Row],[Date]]+1),MAX(0,Horaires35673[[#This Row],[Fin corrigée si nuit]]-(1+deb_dimJF)),0))*24-
(IF(COUNTIF(JF,Horaires35673[[#This Row],[Date]]),MAX(0,MIN(fin_dimJF,Horaires35673[[#This Row],[PNP Fin corrigée]])-MAX(deb_dimJF,Horaires35673[[#This Row],[PNP Début corrigé]])),0)+IF(COUNTIF(JF,Horaires35673[[#This Row],[Date]]+1),MAX(0,Horaires35673[[#This Row],[PNP Fin corrigée]]-(1+deb_dimJF)),0))*24</f>
        <v>0</v>
      </c>
    </row>
    <row r="15" spans="1:19" x14ac:dyDescent="0.35">
      <c r="A15" s="5"/>
      <c r="B15" s="1"/>
      <c r="C15" s="2"/>
      <c r="D15" s="2"/>
      <c r="E15" s="3"/>
      <c r="F15" s="3"/>
      <c r="G15" s="3"/>
      <c r="H15" s="3"/>
      <c r="I15" s="32">
        <f>0.1*(Horaires35673[[#This Row],[Heures de nuit]]+Horaires35673[[#This Row],[heures jour dimanche]]+Horaires35673[[#This Row],[heures jour fériés]])</f>
        <v>0</v>
      </c>
      <c r="J15" s="33">
        <f>(MOD(Horaires35673[[#This Row],[Fin]]-Horaires35673[[#This Row],[début]],1)-MOD(Horaires35673[[#This Row],[PNP Fin]]-Horaires35673[[#This Row],[PNP Début]],1))*24</f>
        <v>0</v>
      </c>
      <c r="K15" s="34">
        <f>IF(Horaires35673[[#This Row],[PNP Début]]=0,0,IF(Horaires35673[[#This Row],[PNP Début]]&lt;Horaires35673[[#This Row],[début]],1,0)+Horaires35673[[#This Row],[PNP Début]])</f>
        <v>0</v>
      </c>
      <c r="L15" s="34">
        <f>IF(Horaires35673[[#This Row],[PNP Fin]]=0,0,IF(Horaires35673[[#This Row],[PNP Fin]]&lt;Horaires35673[[#This Row],[début]],1,0)+Horaires35673[[#This Row],[PNP Fin]])</f>
        <v>0</v>
      </c>
      <c r="M15" s="34">
        <f>IF(Horaires35673[[#This Row],[Fin]]&lt;Horaires35673[[#This Row],[début]],1,0)+Horaires35673[[#This Row],[Fin]]</f>
        <v>0</v>
      </c>
      <c r="N15" s="35">
        <f>IF(Horaires35673[[#This Row],[Fin]]&lt;Horaires35673[[#This Row],[début]],MAX(0,MIN(Horaires35673[[#This Row],[Fin corrigée si nuit]],fin_nuit)-MAX(Horaires35673[[#This Row],[début]],deb_nuit))*24,(MAX(deb_nuit,Horaires35673[[#This Row],[Fin]])-MAX(deb_nuit,Horaires35673[[#This Row],[début]])+MAX(MIN(fin_nuit-1,Horaires35673[[#This Row],[Fin]])-MIN(fin_nuit-1,Horaires35673[[#This Row],[début]]),0))*24)</f>
        <v>0</v>
      </c>
      <c r="O15" s="35">
        <f>(MAX(0,MIN(Horaires35673[[#This Row],[Fin corrigée si nuit]],fin_nuit)-MAX(Horaires35673[[#This Row],[début]],deb_nuit))-IF(Horaires35673[[#This Row],[PNP Début]]=0,0,MIN(Horaires35673[[#This Row],[PNP Fin corrigée]],fin_nuit)-MAX(Horaires35673[[#This Row],[PNP Début corrigé]],deb_nuit)))*24</f>
        <v>0</v>
      </c>
      <c r="P15" s="35">
        <f>(IF(WEEKDAY(Horaires35673[[#This Row],[Date]],2)=7,MAX(0,MIN(fin_dimJF,Horaires35673[[#This Row],[Fin corrigée si nuit]])-MAX(deb_dimJF,Horaires35673[[#This Row],[début]])),0)+IF(WEEKDAY(Horaires35673[[#This Row],[Date]],2)=6,MAX(0,Horaires35673[[#This Row],[Fin corrigée si nuit]]-(1+deb_dimJF)),0))*24</f>
        <v>0</v>
      </c>
      <c r="Q15" s="35">
        <f>(IF(WEEKDAY(Horaires35673[[#This Row],[Date]],2)=7,MAX(0,MIN(fin_dimJF,Horaires35673[[#This Row],[Fin corrigée si nuit]])-MAX(deb_dimJF,Horaires35673[[#This Row],[début]])),0)+IF(WEEKDAY(Horaires35673[[#This Row],[Date]],2)=6,MAX(0,Horaires35673[[#This Row],[Fin corrigée si nuit]]-(1+deb_dimJF)),0))*24-
(IF(WEEKDAY(Horaires35673[[#This Row],[Date]],2)=7,MAX(0,MIN(fin_dimJF,Horaires35673[[#This Row],[PNP Fin corrigée]])-MAX(deb_dimJF,Horaires35673[[#This Row],[PNP Début corrigé]])),0)+IF(WEEKDAY(Horaires35673[[#This Row],[Date]],2)=6,MAX(0,Horaires35673[[#This Row],[PNP Fin corrigée]]-(1+deb_dimJF)),0))*24</f>
        <v>0</v>
      </c>
      <c r="R15" s="36">
        <f>(IF(COUNTIF(JF,Horaires35673[[#This Row],[Date]]),MAX(0,MIN(fin_dimJF,Horaires35673[[#This Row],[Fin corrigée si nuit]])-MAX(deb_dimJF,Horaires35673[[#This Row],[début]])),0)+IF(COUNTIF(JF,Horaires35673[[#This Row],[Date]]+1),MAX(0,Horaires35673[[#This Row],[Fin corrigée si nuit]]-(1+deb_dimJF)),0))*24</f>
        <v>0</v>
      </c>
      <c r="S15" s="36">
        <f>(IF(COUNTIF(JF,Horaires35673[[#This Row],[Date]]),MAX(0,MIN(fin_dimJF,Horaires35673[[#This Row],[Fin corrigée si nuit]])-MAX(deb_dimJF,Horaires35673[[#This Row],[début]])),0)+IF(COUNTIF(JF,Horaires35673[[#This Row],[Date]]+1),MAX(0,Horaires35673[[#This Row],[Fin corrigée si nuit]]-(1+deb_dimJF)),0))*24-
(IF(COUNTIF(JF,Horaires35673[[#This Row],[Date]]),MAX(0,MIN(fin_dimJF,Horaires35673[[#This Row],[PNP Fin corrigée]])-MAX(deb_dimJF,Horaires35673[[#This Row],[PNP Début corrigé]])),0)+IF(COUNTIF(JF,Horaires35673[[#This Row],[Date]]+1),MAX(0,Horaires35673[[#This Row],[PNP Fin corrigée]]-(1+deb_dimJF)),0))*24</f>
        <v>0</v>
      </c>
    </row>
    <row r="16" spans="1:19" x14ac:dyDescent="0.35">
      <c r="A16" s="5"/>
      <c r="B16" s="6"/>
      <c r="C16" s="2"/>
      <c r="D16" s="2"/>
      <c r="E16" s="3"/>
      <c r="F16" s="3"/>
      <c r="G16" s="7"/>
      <c r="H16" s="7"/>
      <c r="I16" s="32">
        <f>0.1*(Horaires35673[[#This Row],[Heures de nuit]]+Horaires35673[[#This Row],[heures jour dimanche]]+Horaires35673[[#This Row],[heures jour fériés]])</f>
        <v>0</v>
      </c>
      <c r="J16" s="37">
        <f>(MOD(Horaires35673[[#This Row],[Fin]]-Horaires35673[[#This Row],[début]],1)-MOD(Horaires35673[[#This Row],[PNP Fin]]-Horaires35673[[#This Row],[PNP Début]],1))*24</f>
        <v>0</v>
      </c>
      <c r="K16" s="34">
        <f>IF(Horaires35673[[#This Row],[PNP Début]]=0,0,IF(Horaires35673[[#This Row],[PNP Début]]&lt;Horaires35673[[#This Row],[début]],1,0)+Horaires35673[[#This Row],[PNP Début]])</f>
        <v>0</v>
      </c>
      <c r="L16" s="34">
        <f>IF(Horaires35673[[#This Row],[PNP Fin]]=0,0,IF(Horaires35673[[#This Row],[PNP Fin]]&lt;Horaires35673[[#This Row],[début]],1,0)+Horaires35673[[#This Row],[PNP Fin]])</f>
        <v>0</v>
      </c>
      <c r="M16" s="38">
        <f>IF(Horaires35673[[#This Row],[Fin]]&lt;Horaires35673[[#This Row],[début]],1,0)+Horaires35673[[#This Row],[Fin]]</f>
        <v>0</v>
      </c>
      <c r="N16" s="35">
        <f>IF(Horaires35673[[#This Row],[Fin]]&lt;Horaires35673[[#This Row],[début]],MAX(0,MIN(Horaires35673[[#This Row],[Fin corrigée si nuit]],fin_nuit)-MAX(Horaires35673[[#This Row],[début]],deb_nuit))*24,(MAX(deb_nuit,Horaires35673[[#This Row],[Fin]])-MAX(deb_nuit,Horaires35673[[#This Row],[début]])+MAX(MIN(fin_nuit-1,Horaires35673[[#This Row],[Fin]])-MIN(fin_nuit-1,Horaires35673[[#This Row],[début]]),0))*24)</f>
        <v>0</v>
      </c>
      <c r="O16" s="39">
        <f>(MAX(0,MIN(Horaires35673[[#This Row],[Fin corrigée si nuit]],fin_nuit)-MAX(Horaires35673[[#This Row],[début]],deb_nuit))-IF(Horaires35673[[#This Row],[PNP Début]]=0,0,MIN(Horaires35673[[#This Row],[PNP Fin corrigée]],fin_nuit)-MAX(Horaires35673[[#This Row],[PNP Début corrigé]],deb_nuit)))*24</f>
        <v>0</v>
      </c>
      <c r="P16" s="39">
        <f>(IF(WEEKDAY(Horaires35673[[#This Row],[Date]],2)=7,MAX(0,MIN(fin_dimJF,Horaires35673[[#This Row],[Fin corrigée si nuit]])-MAX(deb_dimJF,Horaires35673[[#This Row],[début]])),0)+IF(WEEKDAY(Horaires35673[[#This Row],[Date]],2)=6,MAX(0,Horaires35673[[#This Row],[Fin corrigée si nuit]]-(1+deb_dimJF)),0))*24</f>
        <v>0</v>
      </c>
      <c r="Q16" s="35">
        <f>(IF(WEEKDAY(Horaires35673[[#This Row],[Date]],2)=7,MAX(0,MIN(fin_dimJF,Horaires35673[[#This Row],[Fin corrigée si nuit]])-MAX(deb_dimJF,Horaires35673[[#This Row],[début]])),0)+IF(WEEKDAY(Horaires35673[[#This Row],[Date]],2)=6,MAX(0,Horaires35673[[#This Row],[Fin corrigée si nuit]]-(1+deb_dimJF)),0))*24-
(IF(WEEKDAY(Horaires35673[[#This Row],[Date]],2)=7,MAX(0,MIN(fin_dimJF,Horaires35673[[#This Row],[PNP Fin corrigée]])-MAX(deb_dimJF,Horaires35673[[#This Row],[PNP Début corrigé]])),0)+IF(WEEKDAY(Horaires35673[[#This Row],[Date]],2)=6,MAX(0,Horaires35673[[#This Row],[PNP Fin corrigée]]-(1+deb_dimJF)),0))*24</f>
        <v>0</v>
      </c>
      <c r="R16" s="40">
        <f>(IF(COUNTIF(JF,Horaires35673[[#This Row],[Date]]),MAX(0,MIN(fin_dimJF,Horaires35673[[#This Row],[Fin corrigée si nuit]])-MAX(deb_dimJF,Horaires35673[[#This Row],[début]])),0)+IF(COUNTIF(JF,Horaires35673[[#This Row],[Date]]+1),MAX(0,Horaires35673[[#This Row],[Fin corrigée si nuit]]-(1+deb_dimJF)),0))*24</f>
        <v>0</v>
      </c>
      <c r="S16" s="40">
        <f>(IF(COUNTIF(JF,Horaires35673[[#This Row],[Date]]),MAX(0,MIN(fin_dimJF,Horaires35673[[#This Row],[Fin corrigée si nuit]])-MAX(deb_dimJF,Horaires35673[[#This Row],[début]])),0)+IF(COUNTIF(JF,Horaires35673[[#This Row],[Date]]+1),MAX(0,Horaires35673[[#This Row],[Fin corrigée si nuit]]-(1+deb_dimJF)),0))*24-
(IF(COUNTIF(JF,Horaires35673[[#This Row],[Date]]),MAX(0,MIN(fin_dimJF,Horaires35673[[#This Row],[PNP Fin corrigée]])-MAX(deb_dimJF,Horaires35673[[#This Row],[PNP Début corrigé]])),0)+IF(COUNTIF(JF,Horaires35673[[#This Row],[Date]]+1),MAX(0,Horaires35673[[#This Row],[PNP Fin corrigée]]-(1+deb_dimJF)),0))*24</f>
        <v>0</v>
      </c>
    </row>
    <row r="17" spans="1:19" x14ac:dyDescent="0.35">
      <c r="A17" s="5"/>
      <c r="B17" s="1"/>
      <c r="C17" s="2"/>
      <c r="D17" s="2"/>
      <c r="E17" s="3"/>
      <c r="F17" s="3"/>
      <c r="G17" s="12"/>
      <c r="H17" s="12"/>
      <c r="I17" s="41">
        <f>0.1*(Horaires35673[[#This Row],[Heures de nuit]]+Horaires35673[[#This Row],[heures jour dimanche]]+Horaires35673[[#This Row],[heures jour fériés]])</f>
        <v>0</v>
      </c>
      <c r="J17" s="42">
        <f>(MOD(Horaires35673[[#This Row],[Fin]]-Horaires35673[[#This Row],[début]],1)-MOD(Horaires35673[[#This Row],[PNP Fin]]-Horaires35673[[#This Row],[PNP Début]],1))*24</f>
        <v>0</v>
      </c>
      <c r="K17" s="43">
        <f>IF(Horaires35673[[#This Row],[PNP Début]]=0,0,IF(Horaires35673[[#This Row],[PNP Début]]&lt;Horaires35673[[#This Row],[début]],1,0)+Horaires35673[[#This Row],[PNP Début]])</f>
        <v>0</v>
      </c>
      <c r="L17" s="44">
        <f>IF(Horaires35673[[#This Row],[PNP Fin]]=0,0,IF(Horaires35673[[#This Row],[PNP Fin]]&lt;Horaires35673[[#This Row],[début]],1,0)+Horaires35673[[#This Row],[PNP Fin]])</f>
        <v>0</v>
      </c>
      <c r="M17" s="44">
        <f>IF(Horaires35673[[#This Row],[Fin]]&lt;Horaires35673[[#This Row],[début]],1,0)+Horaires35673[[#This Row],[Fin]]</f>
        <v>0</v>
      </c>
      <c r="N17" s="35">
        <f>IF(Horaires35673[[#This Row],[Fin]]&lt;Horaires35673[[#This Row],[début]],MAX(0,MIN(Horaires35673[[#This Row],[Fin corrigée si nuit]],fin_nuit)-MAX(Horaires35673[[#This Row],[début]],deb_nuit))*24,(MAX(deb_nuit,Horaires35673[[#This Row],[Fin]])-MAX(deb_nuit,Horaires35673[[#This Row],[début]])+MAX(MIN(fin_nuit-1,Horaires35673[[#This Row],[Fin]])-MIN(fin_nuit-1,Horaires35673[[#This Row],[début]]),0))*24)</f>
        <v>0</v>
      </c>
      <c r="O17" s="45">
        <f>(MAX(0,MIN(Horaires35673[[#This Row],[Fin corrigée si nuit]],fin_nuit)-MAX(Horaires35673[[#This Row],[début]],deb_nuit))-IF(Horaires35673[[#This Row],[PNP Début]]=0,0,MIN(Horaires35673[[#This Row],[PNP Fin corrigée]],fin_nuit)-MAX(Horaires35673[[#This Row],[PNP Début corrigé]],deb_nuit)))*24</f>
        <v>0</v>
      </c>
      <c r="P17" s="45">
        <f>(IF(WEEKDAY(Horaires35673[[#This Row],[Date]],2)=7,MAX(0,MIN(fin_dimJF,Horaires35673[[#This Row],[Fin corrigée si nuit]])-MAX(deb_dimJF,Horaires35673[[#This Row],[début]])),0)+IF(WEEKDAY(Horaires35673[[#This Row],[Date]],2)=6,MAX(0,Horaires35673[[#This Row],[Fin corrigée si nuit]]-(1+deb_dimJF)),0))*24</f>
        <v>0</v>
      </c>
      <c r="Q17" s="45">
        <f>(IF(WEEKDAY(Horaires35673[[#This Row],[Date]],2)=7,MAX(0,MIN(fin_dimJF,Horaires35673[[#This Row],[Fin corrigée si nuit]])-MAX(deb_dimJF,Horaires35673[[#This Row],[début]])),0)+IF(WEEKDAY(Horaires35673[[#This Row],[Date]],2)=6,MAX(0,Horaires35673[[#This Row],[Fin corrigée si nuit]]-(1+deb_dimJF)),0))*24-
(IF(WEEKDAY(Horaires35673[[#This Row],[Date]],2)=7,MAX(0,MIN(fin_dimJF,Horaires35673[[#This Row],[PNP Fin corrigée]])-MAX(deb_dimJF,Horaires35673[[#This Row],[PNP Début corrigé]])),0)+IF(WEEKDAY(Horaires35673[[#This Row],[Date]],2)=6,MAX(0,Horaires35673[[#This Row],[PNP Fin corrigée]]-(1+deb_dimJF)),0))*24</f>
        <v>0</v>
      </c>
      <c r="R17" s="45">
        <f>(IF(COUNTIF(JF,Horaires35673[[#This Row],[Date]]),MAX(0,MIN(fin_dimJF,Horaires35673[[#This Row],[Fin corrigée si nuit]])-MAX(deb_dimJF,Horaires35673[[#This Row],[début]])),0)+IF(COUNTIF(JF,Horaires35673[[#This Row],[Date]]+1),MAX(0,Horaires35673[[#This Row],[Fin corrigée si nuit]]-(1+deb_dimJF)),0))*24</f>
        <v>0</v>
      </c>
      <c r="S17" s="45">
        <f>(IF(COUNTIF(JF,Horaires35673[[#This Row],[Date]]),MAX(0,MIN(fin_dimJF,Horaires35673[[#This Row],[Fin corrigée si nuit]])-MAX(deb_dimJF,Horaires35673[[#This Row],[début]])),0)+IF(COUNTIF(JF,Horaires35673[[#This Row],[Date]]+1),MAX(0,Horaires35673[[#This Row],[Fin corrigée si nuit]]-(1+deb_dimJF)),0))*24-
(IF(COUNTIF(JF,Horaires35673[[#This Row],[Date]]),MAX(0,MIN(fin_dimJF,Horaires35673[[#This Row],[PNP Fin corrigée]])-MAX(deb_dimJF,Horaires35673[[#This Row],[PNP Début corrigé]])),0)+IF(COUNTIF(JF,Horaires35673[[#This Row],[Date]]+1),MAX(0,Horaires35673[[#This Row],[PNP Fin corrigée]]-(1+deb_dimJF)),0))*24</f>
        <v>0</v>
      </c>
    </row>
    <row r="18" spans="1:19" x14ac:dyDescent="0.35">
      <c r="A18" s="5"/>
      <c r="B18" s="60"/>
      <c r="C18" s="11"/>
      <c r="D18" s="11"/>
      <c r="E18" s="12"/>
      <c r="F18" s="12"/>
      <c r="G18" s="12"/>
      <c r="H18" s="12"/>
      <c r="I18" s="41">
        <f>0.1*(Horaires35673[[#This Row],[Heures de nuit]]+Horaires35673[[#This Row],[heures jour dimanche]]+Horaires35673[[#This Row],[heures jour fériés]])</f>
        <v>0</v>
      </c>
      <c r="J18" s="42">
        <f>(MOD(Horaires35673[[#This Row],[Fin]]-Horaires35673[[#This Row],[début]],1)-MOD(Horaires35673[[#This Row],[PNP Fin]]-Horaires35673[[#This Row],[PNP Début]],1))*24</f>
        <v>0</v>
      </c>
      <c r="K18" s="43">
        <f>IF(Horaires35673[[#This Row],[PNP Début]]=0,0,IF(Horaires35673[[#This Row],[PNP Début]]&lt;Horaires35673[[#This Row],[début]],1,0)+Horaires35673[[#This Row],[PNP Début]])</f>
        <v>0</v>
      </c>
      <c r="L18" s="44">
        <f>IF(Horaires35673[[#This Row],[PNP Fin]]=0,0,IF(Horaires35673[[#This Row],[PNP Fin]]&lt;Horaires35673[[#This Row],[début]],1,0)+Horaires35673[[#This Row],[PNP Fin]])</f>
        <v>0</v>
      </c>
      <c r="M18" s="44">
        <f>IF(Horaires35673[[#This Row],[Fin]]&lt;Horaires35673[[#This Row],[début]],1,0)+Horaires35673[[#This Row],[Fin]]</f>
        <v>0</v>
      </c>
      <c r="N18" s="35">
        <f>IF(Horaires35673[[#This Row],[Fin]]&lt;Horaires35673[[#This Row],[début]],MAX(0,MIN(Horaires35673[[#This Row],[Fin corrigée si nuit]],fin_nuit)-MAX(Horaires35673[[#This Row],[début]],deb_nuit))*24,(MAX(deb_nuit,Horaires35673[[#This Row],[Fin]])-MAX(deb_nuit,Horaires35673[[#This Row],[début]])+MAX(MIN(fin_nuit-1,Horaires35673[[#This Row],[Fin]])-MIN(fin_nuit-1,Horaires35673[[#This Row],[début]]),0))*24)</f>
        <v>0</v>
      </c>
      <c r="O18" s="45">
        <f>(MAX(0,MIN(Horaires35673[[#This Row],[Fin corrigée si nuit]],fin_nuit)-MAX(Horaires35673[[#This Row],[début]],deb_nuit))-IF(Horaires35673[[#This Row],[PNP Début]]=0,0,MIN(Horaires35673[[#This Row],[PNP Fin corrigée]],fin_nuit)-MAX(Horaires35673[[#This Row],[PNP Début corrigé]],deb_nuit)))*24</f>
        <v>0</v>
      </c>
      <c r="P18" s="45">
        <f>(IF(WEEKDAY(Horaires35673[[#This Row],[Date]],2)=7,MAX(0,MIN(fin_dimJF,Horaires35673[[#This Row],[Fin corrigée si nuit]])-MAX(deb_dimJF,Horaires35673[[#This Row],[début]])),0)+IF(WEEKDAY(Horaires35673[[#This Row],[Date]],2)=6,MAX(0,Horaires35673[[#This Row],[Fin corrigée si nuit]]-(1+deb_dimJF)),0))*24</f>
        <v>0</v>
      </c>
      <c r="Q18" s="45">
        <f>(IF(WEEKDAY(Horaires35673[[#This Row],[Date]],2)=7,MAX(0,MIN(fin_dimJF,Horaires35673[[#This Row],[Fin corrigée si nuit]])-MAX(deb_dimJF,Horaires35673[[#This Row],[début]])),0)+IF(WEEKDAY(Horaires35673[[#This Row],[Date]],2)=6,MAX(0,Horaires35673[[#This Row],[Fin corrigée si nuit]]-(1+deb_dimJF)),0))*24-
(IF(WEEKDAY(Horaires35673[[#This Row],[Date]],2)=7,MAX(0,MIN(fin_dimJF,Horaires35673[[#This Row],[PNP Fin corrigée]])-MAX(deb_dimJF,Horaires35673[[#This Row],[PNP Début corrigé]])),0)+IF(WEEKDAY(Horaires35673[[#This Row],[Date]],2)=6,MAX(0,Horaires35673[[#This Row],[PNP Fin corrigée]]-(1+deb_dimJF)),0))*24</f>
        <v>0</v>
      </c>
      <c r="R18" s="45">
        <f>(IF(COUNTIF(JF,Horaires35673[[#This Row],[Date]]),MAX(0,MIN(fin_dimJF,Horaires35673[[#This Row],[Fin corrigée si nuit]])-MAX(deb_dimJF,Horaires35673[[#This Row],[début]])),0)+IF(COUNTIF(JF,Horaires35673[[#This Row],[Date]]+1),MAX(0,Horaires35673[[#This Row],[Fin corrigée si nuit]]-(1+deb_dimJF)),0))*24</f>
        <v>0</v>
      </c>
      <c r="S18" s="45">
        <f>(IF(COUNTIF(JF,Horaires35673[[#This Row],[Date]]),MAX(0,MIN(fin_dimJF,Horaires35673[[#This Row],[Fin corrigée si nuit]])-MAX(deb_dimJF,Horaires35673[[#This Row],[début]])),0)+IF(COUNTIF(JF,Horaires35673[[#This Row],[Date]]+1),MAX(0,Horaires35673[[#This Row],[Fin corrigée si nuit]]-(1+deb_dimJF)),0))*24-
(IF(COUNTIF(JF,Horaires35673[[#This Row],[Date]]),MAX(0,MIN(fin_dimJF,Horaires35673[[#This Row],[PNP Fin corrigée]])-MAX(deb_dimJF,Horaires35673[[#This Row],[PNP Début corrigé]])),0)+IF(COUNTIF(JF,Horaires35673[[#This Row],[Date]]+1),MAX(0,Horaires35673[[#This Row],[PNP Fin corrigée]]-(1+deb_dimJF)),0))*24</f>
        <v>0</v>
      </c>
    </row>
    <row r="19" spans="1:19" x14ac:dyDescent="0.35">
      <c r="A19" s="5"/>
      <c r="B19" s="1"/>
      <c r="C19" s="11"/>
      <c r="D19" s="11"/>
      <c r="E19" s="3"/>
      <c r="F19" s="3"/>
      <c r="G19" s="12"/>
      <c r="H19" s="12"/>
      <c r="I19" s="41">
        <f>0.1*(Horaires35673[[#This Row],[Heures de nuit]]+Horaires35673[[#This Row],[heures jour dimanche]]+Horaires35673[[#This Row],[heures jour fériés]])</f>
        <v>0</v>
      </c>
      <c r="J19" s="42">
        <f>(MOD(Horaires35673[[#This Row],[Fin]]-Horaires35673[[#This Row],[début]],1)-MOD(Horaires35673[[#This Row],[PNP Fin]]-Horaires35673[[#This Row],[PNP Début]],1))*24</f>
        <v>0</v>
      </c>
      <c r="K19" s="43">
        <f>IF(Horaires35673[[#This Row],[PNP Début]]=0,0,IF(Horaires35673[[#This Row],[PNP Début]]&lt;Horaires35673[[#This Row],[début]],1,0)+Horaires35673[[#This Row],[PNP Début]])</f>
        <v>0</v>
      </c>
      <c r="L19" s="44">
        <f>IF(Horaires35673[[#This Row],[PNP Fin]]=0,0,IF(Horaires35673[[#This Row],[PNP Fin]]&lt;Horaires35673[[#This Row],[début]],1,0)+Horaires35673[[#This Row],[PNP Fin]])</f>
        <v>0</v>
      </c>
      <c r="M19" s="44">
        <f>IF(Horaires35673[[#This Row],[Fin]]&lt;Horaires35673[[#This Row],[début]],1,0)+Horaires35673[[#This Row],[Fin]]</f>
        <v>0</v>
      </c>
      <c r="N19" s="35">
        <f>IF(Horaires35673[[#This Row],[Fin]]&lt;Horaires35673[[#This Row],[début]],MAX(0,MIN(Horaires35673[[#This Row],[Fin corrigée si nuit]],fin_nuit)-MAX(Horaires35673[[#This Row],[début]],deb_nuit))*24,(MAX(deb_nuit,Horaires35673[[#This Row],[Fin]])-MAX(deb_nuit,Horaires35673[[#This Row],[début]])+MAX(MIN(fin_nuit-1,Horaires35673[[#This Row],[Fin]])-MIN(fin_nuit-1,Horaires35673[[#This Row],[début]]),0))*24)</f>
        <v>0</v>
      </c>
      <c r="O19" s="45">
        <f>(MAX(0,MIN(Horaires35673[[#This Row],[Fin corrigée si nuit]],fin_nuit)-MAX(Horaires35673[[#This Row],[début]],deb_nuit))-IF(Horaires35673[[#This Row],[PNP Début]]=0,0,MIN(Horaires35673[[#This Row],[PNP Fin corrigée]],fin_nuit)-MAX(Horaires35673[[#This Row],[PNP Début corrigé]],deb_nuit)))*24</f>
        <v>0</v>
      </c>
      <c r="P19" s="45">
        <f>(IF(WEEKDAY(Horaires35673[[#This Row],[Date]],2)=7,MAX(0,MIN(fin_dimJF,Horaires35673[[#This Row],[Fin corrigée si nuit]])-MAX(deb_dimJF,Horaires35673[[#This Row],[début]])),0)+IF(WEEKDAY(Horaires35673[[#This Row],[Date]],2)=6,MAX(0,Horaires35673[[#This Row],[Fin corrigée si nuit]]-(1+deb_dimJF)),0))*24</f>
        <v>0</v>
      </c>
      <c r="Q19" s="45">
        <f>(IF(WEEKDAY(Horaires35673[[#This Row],[Date]],2)=7,MAX(0,MIN(fin_dimJF,Horaires35673[[#This Row],[Fin corrigée si nuit]])-MAX(deb_dimJF,Horaires35673[[#This Row],[début]])),0)+IF(WEEKDAY(Horaires35673[[#This Row],[Date]],2)=6,MAX(0,Horaires35673[[#This Row],[Fin corrigée si nuit]]-(1+deb_dimJF)),0))*24-
(IF(WEEKDAY(Horaires35673[[#This Row],[Date]],2)=7,MAX(0,MIN(fin_dimJF,Horaires35673[[#This Row],[PNP Fin corrigée]])-MAX(deb_dimJF,Horaires35673[[#This Row],[PNP Début corrigé]])),0)+IF(WEEKDAY(Horaires35673[[#This Row],[Date]],2)=6,MAX(0,Horaires35673[[#This Row],[PNP Fin corrigée]]-(1+deb_dimJF)),0))*24</f>
        <v>0</v>
      </c>
      <c r="R19" s="45">
        <f>(IF(COUNTIF(JF,Horaires35673[[#This Row],[Date]]),MAX(0,MIN(fin_dimJF,Horaires35673[[#This Row],[Fin corrigée si nuit]])-MAX(deb_dimJF,Horaires35673[[#This Row],[début]])),0)+IF(COUNTIF(JF,Horaires35673[[#This Row],[Date]]+1),MAX(0,Horaires35673[[#This Row],[Fin corrigée si nuit]]-(1+deb_dimJF)),0))*24</f>
        <v>0</v>
      </c>
      <c r="S19" s="45">
        <f>(IF(COUNTIF(JF,Horaires35673[[#This Row],[Date]]),MAX(0,MIN(fin_dimJF,Horaires35673[[#This Row],[Fin corrigée si nuit]])-MAX(deb_dimJF,Horaires35673[[#This Row],[début]])),0)+IF(COUNTIF(JF,Horaires35673[[#This Row],[Date]]+1),MAX(0,Horaires35673[[#This Row],[Fin corrigée si nuit]]-(1+deb_dimJF)),0))*24-
(IF(COUNTIF(JF,Horaires35673[[#This Row],[Date]]),MAX(0,MIN(fin_dimJF,Horaires35673[[#This Row],[PNP Fin corrigée]])-MAX(deb_dimJF,Horaires35673[[#This Row],[PNP Début corrigé]])),0)+IF(COUNTIF(JF,Horaires35673[[#This Row],[Date]]+1),MAX(0,Horaires35673[[#This Row],[PNP Fin corrigée]]-(1+deb_dimJF)),0))*24</f>
        <v>0</v>
      </c>
    </row>
    <row r="20" spans="1:19" x14ac:dyDescent="0.35">
      <c r="A20" s="5"/>
      <c r="B20" s="1"/>
      <c r="C20" s="11"/>
      <c r="D20" s="11"/>
      <c r="E20" s="12"/>
      <c r="F20" s="12"/>
      <c r="G20" s="12"/>
      <c r="H20" s="12"/>
      <c r="I20" s="41">
        <f>0.1*(Horaires35673[[#This Row],[Heures de nuit]]+Horaires35673[[#This Row],[heures jour dimanche]]+Horaires35673[[#This Row],[heures jour fériés]])</f>
        <v>0</v>
      </c>
      <c r="J20" s="42">
        <f>(MOD(Horaires35673[[#This Row],[Fin]]-Horaires35673[[#This Row],[début]],1)-MOD(Horaires35673[[#This Row],[PNP Fin]]-Horaires35673[[#This Row],[PNP Début]],1))*24</f>
        <v>0</v>
      </c>
      <c r="K20" s="43">
        <f>IF(Horaires35673[[#This Row],[PNP Début]]=0,0,IF(Horaires35673[[#This Row],[PNP Début]]&lt;Horaires35673[[#This Row],[début]],1,0)+Horaires35673[[#This Row],[PNP Début]])</f>
        <v>0</v>
      </c>
      <c r="L20" s="44">
        <f>IF(Horaires35673[[#This Row],[PNP Fin]]=0,0,IF(Horaires35673[[#This Row],[PNP Fin]]&lt;Horaires35673[[#This Row],[début]],1,0)+Horaires35673[[#This Row],[PNP Fin]])</f>
        <v>0</v>
      </c>
      <c r="M20" s="44">
        <f>IF(Horaires35673[[#This Row],[Fin]]&lt;Horaires35673[[#This Row],[début]],1,0)+Horaires35673[[#This Row],[Fin]]</f>
        <v>0</v>
      </c>
      <c r="N20" s="35">
        <f>IF(Horaires35673[[#This Row],[Fin]]&lt;Horaires35673[[#This Row],[début]],MAX(0,MIN(Horaires35673[[#This Row],[Fin corrigée si nuit]],fin_nuit)-MAX(Horaires35673[[#This Row],[début]],deb_nuit))*24,(MAX(deb_nuit,Horaires35673[[#This Row],[Fin]])-MAX(deb_nuit,Horaires35673[[#This Row],[début]])+MAX(MIN(fin_nuit-1,Horaires35673[[#This Row],[Fin]])-MIN(fin_nuit-1,Horaires35673[[#This Row],[début]]),0))*24)</f>
        <v>0</v>
      </c>
      <c r="O20" s="45">
        <f>(MAX(0,MIN(Horaires35673[[#This Row],[Fin corrigée si nuit]],fin_nuit)-MAX(Horaires35673[[#This Row],[début]],deb_nuit))-IF(Horaires35673[[#This Row],[PNP Début]]=0,0,MIN(Horaires35673[[#This Row],[PNP Fin corrigée]],fin_nuit)-MAX(Horaires35673[[#This Row],[PNP Début corrigé]],deb_nuit)))*24</f>
        <v>0</v>
      </c>
      <c r="P20" s="45">
        <f>(IF(WEEKDAY(Horaires35673[[#This Row],[Date]],2)=7,MAX(0,MIN(fin_dimJF,Horaires35673[[#This Row],[Fin corrigée si nuit]])-MAX(deb_dimJF,Horaires35673[[#This Row],[début]])),0)+IF(WEEKDAY(Horaires35673[[#This Row],[Date]],2)=6,MAX(0,Horaires35673[[#This Row],[Fin corrigée si nuit]]-(1+deb_dimJF)),0))*24</f>
        <v>0</v>
      </c>
      <c r="Q20" s="45">
        <f>(IF(WEEKDAY(Horaires35673[[#This Row],[Date]],2)=7,MAX(0,MIN(fin_dimJF,Horaires35673[[#This Row],[Fin corrigée si nuit]])-MAX(deb_dimJF,Horaires35673[[#This Row],[début]])),0)+IF(WEEKDAY(Horaires35673[[#This Row],[Date]],2)=6,MAX(0,Horaires35673[[#This Row],[Fin corrigée si nuit]]-(1+deb_dimJF)),0))*24-
(IF(WEEKDAY(Horaires35673[[#This Row],[Date]],2)=7,MAX(0,MIN(fin_dimJF,Horaires35673[[#This Row],[PNP Fin corrigée]])-MAX(deb_dimJF,Horaires35673[[#This Row],[PNP Début corrigé]])),0)+IF(WEEKDAY(Horaires35673[[#This Row],[Date]],2)=6,MAX(0,Horaires35673[[#This Row],[PNP Fin corrigée]]-(1+deb_dimJF)),0))*24</f>
        <v>0</v>
      </c>
      <c r="R20" s="45">
        <f>(IF(COUNTIF(JF,Horaires35673[[#This Row],[Date]]),MAX(0,MIN(fin_dimJF,Horaires35673[[#This Row],[Fin corrigée si nuit]])-MAX(deb_dimJF,Horaires35673[[#This Row],[début]])),0)+IF(COUNTIF(JF,Horaires35673[[#This Row],[Date]]+1),MAX(0,Horaires35673[[#This Row],[Fin corrigée si nuit]]-(1+deb_dimJF)),0))*24</f>
        <v>0</v>
      </c>
      <c r="S20" s="45">
        <f>(IF(COUNTIF(JF,Horaires35673[[#This Row],[Date]]),MAX(0,MIN(fin_dimJF,Horaires35673[[#This Row],[Fin corrigée si nuit]])-MAX(deb_dimJF,Horaires35673[[#This Row],[début]])),0)+IF(COUNTIF(JF,Horaires35673[[#This Row],[Date]]+1),MAX(0,Horaires35673[[#This Row],[Fin corrigée si nuit]]-(1+deb_dimJF)),0))*24-
(IF(COUNTIF(JF,Horaires35673[[#This Row],[Date]]),MAX(0,MIN(fin_dimJF,Horaires35673[[#This Row],[PNP Fin corrigée]])-MAX(deb_dimJF,Horaires35673[[#This Row],[PNP Début corrigé]])),0)+IF(COUNTIF(JF,Horaires35673[[#This Row],[Date]]+1),MAX(0,Horaires35673[[#This Row],[PNP Fin corrigée]]-(1+deb_dimJF)),0))*24</f>
        <v>0</v>
      </c>
    </row>
    <row r="21" spans="1:19" x14ac:dyDescent="0.35">
      <c r="A21" s="5"/>
      <c r="B21" s="6"/>
      <c r="C21" s="13"/>
      <c r="D21" s="13"/>
      <c r="E21" s="3"/>
      <c r="F21" s="3"/>
      <c r="G21" s="14"/>
      <c r="H21" s="14"/>
      <c r="I21" s="46">
        <f>0.1*(Horaires35673[[#This Row],[Heures de nuit]]+Horaires35673[[#This Row],[heures jour dimanche]]+Horaires35673[[#This Row],[heures jour fériés]])</f>
        <v>0</v>
      </c>
      <c r="J21" s="47">
        <f>(MOD(Horaires35673[[#This Row],[Fin]]-Horaires35673[[#This Row],[début]],1)-MOD(Horaires35673[[#This Row],[PNP Fin]]-Horaires35673[[#This Row],[PNP Début]],1))*24</f>
        <v>0</v>
      </c>
      <c r="K21" s="48">
        <f>IF(Horaires35673[[#This Row],[PNP Début]]=0,0,IF(Horaires35673[[#This Row],[PNP Début]]&lt;Horaires35673[[#This Row],[début]],1,0)+Horaires35673[[#This Row],[PNP Début]])</f>
        <v>0</v>
      </c>
      <c r="L21" s="49">
        <f>IF(Horaires35673[[#This Row],[PNP Fin]]=0,0,IF(Horaires35673[[#This Row],[PNP Fin]]&lt;Horaires35673[[#This Row],[début]],1,0)+Horaires35673[[#This Row],[PNP Fin]])</f>
        <v>0</v>
      </c>
      <c r="M21" s="49">
        <f>IF(Horaires35673[[#This Row],[Fin]]&lt;Horaires35673[[#This Row],[début]],1,0)+Horaires35673[[#This Row],[Fin]]</f>
        <v>0</v>
      </c>
      <c r="N21" s="35">
        <f>IF(Horaires35673[[#This Row],[Fin]]&lt;Horaires35673[[#This Row],[début]],MAX(0,MIN(Horaires35673[[#This Row],[Fin corrigée si nuit]],fin_nuit)-MAX(Horaires35673[[#This Row],[début]],deb_nuit))*24,(MAX(deb_nuit,Horaires35673[[#This Row],[Fin]])-MAX(deb_nuit,Horaires35673[[#This Row],[début]])+MAX(MIN(fin_nuit-1,Horaires35673[[#This Row],[Fin]])-MIN(fin_nuit-1,Horaires35673[[#This Row],[début]]),0))*24)</f>
        <v>0</v>
      </c>
      <c r="O21" s="50">
        <f>(MAX(0,MIN(Horaires35673[[#This Row],[Fin corrigée si nuit]],fin_nuit)-MAX(Horaires35673[[#This Row],[début]],deb_nuit))-IF(Horaires35673[[#This Row],[PNP Début]]=0,0,MIN(Horaires35673[[#This Row],[PNP Fin corrigée]],fin_nuit)-MAX(Horaires35673[[#This Row],[PNP Début corrigé]],deb_nuit)))*24</f>
        <v>0</v>
      </c>
      <c r="P21" s="50">
        <f>(IF(WEEKDAY(Horaires35673[[#This Row],[Date]],2)=7,MAX(0,MIN(fin_dimJF,Horaires35673[[#This Row],[Fin corrigée si nuit]])-MAX(deb_dimJF,Horaires35673[[#This Row],[début]])),0)+IF(WEEKDAY(Horaires35673[[#This Row],[Date]],2)=6,MAX(0,Horaires35673[[#This Row],[Fin corrigée si nuit]]-(1+deb_dimJF)),0))*24</f>
        <v>0</v>
      </c>
      <c r="Q21" s="50">
        <f>(IF(WEEKDAY(Horaires35673[[#This Row],[Date]],2)=7,MAX(0,MIN(fin_dimJF,Horaires35673[[#This Row],[Fin corrigée si nuit]])-MAX(deb_dimJF,Horaires35673[[#This Row],[début]])),0)+IF(WEEKDAY(Horaires35673[[#This Row],[Date]],2)=6,MAX(0,Horaires35673[[#This Row],[Fin corrigée si nuit]]-(1+deb_dimJF)),0))*24-
(IF(WEEKDAY(Horaires35673[[#This Row],[Date]],2)=7,MAX(0,MIN(fin_dimJF,Horaires35673[[#This Row],[PNP Fin corrigée]])-MAX(deb_dimJF,Horaires35673[[#This Row],[PNP Début corrigé]])),0)+IF(WEEKDAY(Horaires35673[[#This Row],[Date]],2)=6,MAX(0,Horaires35673[[#This Row],[PNP Fin corrigée]]-(1+deb_dimJF)),0))*24</f>
        <v>0</v>
      </c>
      <c r="R21" s="50">
        <f>(IF(COUNTIF(JF,Horaires35673[[#This Row],[Date]]),MAX(0,MIN(fin_dimJF,Horaires35673[[#This Row],[Fin corrigée si nuit]])-MAX(deb_dimJF,Horaires35673[[#This Row],[début]])),0)+IF(COUNTIF(JF,Horaires35673[[#This Row],[Date]]+1),MAX(0,Horaires35673[[#This Row],[Fin corrigée si nuit]]-(1+deb_dimJF)),0))*24</f>
        <v>0</v>
      </c>
      <c r="S21" s="50">
        <f>(IF(COUNTIF(JF,Horaires35673[[#This Row],[Date]]),MAX(0,MIN(fin_dimJF,Horaires35673[[#This Row],[Fin corrigée si nuit]])-MAX(deb_dimJF,Horaires35673[[#This Row],[début]])),0)+IF(COUNTIF(JF,Horaires35673[[#This Row],[Date]]+1),MAX(0,Horaires35673[[#This Row],[Fin corrigée si nuit]]-(1+deb_dimJF)),0))*24-
(IF(COUNTIF(JF,Horaires35673[[#This Row],[Date]]),MAX(0,MIN(fin_dimJF,Horaires35673[[#This Row],[PNP Fin corrigée]])-MAX(deb_dimJF,Horaires35673[[#This Row],[PNP Début corrigé]])),0)+IF(COUNTIF(JF,Horaires35673[[#This Row],[Date]]+1),MAX(0,Horaires35673[[#This Row],[PNP Fin corrigée]]-(1+deb_dimJF)),0))*24</f>
        <v>0</v>
      </c>
    </row>
    <row r="22" spans="1:19" ht="14.4" customHeight="1" x14ac:dyDescent="0.35">
      <c r="A22" s="5"/>
      <c r="B22" s="1"/>
      <c r="C22" s="13"/>
      <c r="D22" s="13"/>
      <c r="E22" s="3"/>
      <c r="F22" s="3"/>
      <c r="G22" s="3"/>
      <c r="H22" s="3"/>
      <c r="I22" s="51">
        <f>0.1*(Horaires35673[[#This Row],[Heures de nuit]]+Horaires35673[[#This Row],[heures jour dimanche]]+Horaires35673[[#This Row],[heures jour fériés]])</f>
        <v>0</v>
      </c>
      <c r="J22" s="52">
        <f>(MOD(Horaires35673[[#This Row],[Fin]]-Horaires35673[[#This Row],[début]],1)-MOD(Horaires35673[[#This Row],[PNP Fin]]-Horaires35673[[#This Row],[PNP Début]],1))*24</f>
        <v>0</v>
      </c>
      <c r="K22" s="53">
        <f>IF(Horaires35673[[#This Row],[PNP Début]]=0,0,IF(Horaires35673[[#This Row],[PNP Début]]&lt;Horaires35673[[#This Row],[début]],1,0)+Horaires35673[[#This Row],[PNP Début]])</f>
        <v>0</v>
      </c>
      <c r="L22" s="54">
        <f>IF(Horaires35673[[#This Row],[PNP Fin]]=0,0,IF(Horaires35673[[#This Row],[PNP Fin]]&lt;Horaires35673[[#This Row],[début]],1,0)+Horaires35673[[#This Row],[PNP Fin]])</f>
        <v>0</v>
      </c>
      <c r="M22" s="54">
        <f>IF(Horaires35673[[#This Row],[Fin]]&lt;Horaires35673[[#This Row],[début]],1,0)+Horaires35673[[#This Row],[Fin]]</f>
        <v>0</v>
      </c>
      <c r="N22" s="35">
        <f>IF(Horaires35673[[#This Row],[Fin]]&lt;Horaires35673[[#This Row],[début]],MAX(0,MIN(Horaires35673[[#This Row],[Fin corrigée si nuit]],fin_nuit)-MAX(Horaires35673[[#This Row],[début]],deb_nuit))*24,(MAX(deb_nuit,Horaires35673[[#This Row],[Fin]])-MAX(deb_nuit,Horaires35673[[#This Row],[début]])+MAX(MIN(fin_nuit-1,Horaires35673[[#This Row],[Fin]])-MIN(fin_nuit-1,Horaires35673[[#This Row],[début]]),0))*24)</f>
        <v>0</v>
      </c>
      <c r="O22" s="55">
        <f>(MAX(0,MIN(Horaires35673[[#This Row],[Fin corrigée si nuit]],fin_nuit)-MAX(Horaires35673[[#This Row],[début]],deb_nuit))-IF(Horaires35673[[#This Row],[PNP Début]]=0,0,MIN(Horaires35673[[#This Row],[PNP Fin corrigée]],fin_nuit)-MAX(Horaires35673[[#This Row],[PNP Début corrigé]],deb_nuit)))*24</f>
        <v>0</v>
      </c>
      <c r="P22" s="55">
        <f>(IF(WEEKDAY(Horaires35673[[#This Row],[Date]],2)=7,MAX(0,MIN(fin_dimJF,Horaires35673[[#This Row],[Fin corrigée si nuit]])-MAX(deb_dimJF,Horaires35673[[#This Row],[début]])),0)+IF(WEEKDAY(Horaires35673[[#This Row],[Date]],2)=6,MAX(0,Horaires35673[[#This Row],[Fin corrigée si nuit]]-(1+deb_dimJF)),0))*24</f>
        <v>0</v>
      </c>
      <c r="Q22" s="55">
        <f>(IF(WEEKDAY(Horaires35673[[#This Row],[Date]],2)=7,MAX(0,MIN(fin_dimJF,Horaires35673[[#This Row],[Fin corrigée si nuit]])-MAX(deb_dimJF,Horaires35673[[#This Row],[début]])),0)+IF(WEEKDAY(Horaires35673[[#This Row],[Date]],2)=6,MAX(0,Horaires35673[[#This Row],[Fin corrigée si nuit]]-(1+deb_dimJF)),0))*24-
(IF(WEEKDAY(Horaires35673[[#This Row],[Date]],2)=7,MAX(0,MIN(fin_dimJF,Horaires35673[[#This Row],[PNP Fin corrigée]])-MAX(deb_dimJF,Horaires35673[[#This Row],[PNP Début corrigé]])),0)+IF(WEEKDAY(Horaires35673[[#This Row],[Date]],2)=6,MAX(0,Horaires35673[[#This Row],[PNP Fin corrigée]]-(1+deb_dimJF)),0))*24</f>
        <v>0</v>
      </c>
      <c r="R22" s="55">
        <f>(IF(COUNTIF(JF,Horaires35673[[#This Row],[Date]]),MAX(0,MIN(fin_dimJF,Horaires35673[[#This Row],[Fin corrigée si nuit]])-MAX(deb_dimJF,Horaires35673[[#This Row],[début]])),0)+IF(COUNTIF(JF,Horaires35673[[#This Row],[Date]]+1),MAX(0,Horaires35673[[#This Row],[Fin corrigée si nuit]]-(1+deb_dimJF)),0))*24</f>
        <v>0</v>
      </c>
      <c r="S22" s="55">
        <f>(IF(COUNTIF(JF,Horaires35673[[#This Row],[Date]]),MAX(0,MIN(fin_dimJF,Horaires35673[[#This Row],[Fin corrigée si nuit]])-MAX(deb_dimJF,Horaires35673[[#This Row],[début]])),0)+IF(COUNTIF(JF,Horaires35673[[#This Row],[Date]]+1),MAX(0,Horaires35673[[#This Row],[Fin corrigée si nuit]]-(1+deb_dimJF)),0))*24-
(IF(COUNTIF(JF,Horaires35673[[#This Row],[Date]]),MAX(0,MIN(fin_dimJF,Horaires35673[[#This Row],[PNP Fin corrigée]])-MAX(deb_dimJF,Horaires35673[[#This Row],[PNP Début corrigé]])),0)+IF(COUNTIF(JF,Horaires35673[[#This Row],[Date]]+1),MAX(0,Horaires35673[[#This Row],[PNP Fin corrigée]]-(1+deb_dimJF)),0))*24</f>
        <v>0</v>
      </c>
    </row>
    <row r="23" spans="1:19" ht="14.4" customHeight="1" x14ac:dyDescent="0.35">
      <c r="A23" s="5"/>
      <c r="B23" s="1"/>
      <c r="C23" s="13"/>
      <c r="D23" s="13"/>
      <c r="E23" s="3"/>
      <c r="F23" s="3"/>
      <c r="G23" s="3"/>
      <c r="H23" s="3"/>
      <c r="I23" s="51">
        <f>0.1*(Horaires35673[[#This Row],[Heures de nuit]]+Horaires35673[[#This Row],[heures jour dimanche]]+Horaires35673[[#This Row],[heures jour fériés]])</f>
        <v>0</v>
      </c>
      <c r="J23" s="52">
        <f>(MOD(Horaires35673[[#This Row],[Fin]]-Horaires35673[[#This Row],[début]],1)-MOD(Horaires35673[[#This Row],[PNP Fin]]-Horaires35673[[#This Row],[PNP Début]],1))*24</f>
        <v>0</v>
      </c>
      <c r="K23" s="53">
        <f>IF(Horaires35673[[#This Row],[PNP Début]]=0,0,IF(Horaires35673[[#This Row],[PNP Début]]&lt;Horaires35673[[#This Row],[début]],1,0)+Horaires35673[[#This Row],[PNP Début]])</f>
        <v>0</v>
      </c>
      <c r="L23" s="54">
        <f>IF(Horaires35673[[#This Row],[PNP Fin]]=0,0,IF(Horaires35673[[#This Row],[PNP Fin]]&lt;Horaires35673[[#This Row],[début]],1,0)+Horaires35673[[#This Row],[PNP Fin]])</f>
        <v>0</v>
      </c>
      <c r="M23" s="54">
        <f>IF(Horaires35673[[#This Row],[Fin]]&lt;Horaires35673[[#This Row],[début]],1,0)+Horaires35673[[#This Row],[Fin]]</f>
        <v>0</v>
      </c>
      <c r="N23" s="35">
        <f>IF(Horaires35673[[#This Row],[Fin]]&lt;Horaires35673[[#This Row],[début]],MAX(0,MIN(Horaires35673[[#This Row],[Fin corrigée si nuit]],fin_nuit)-MAX(Horaires35673[[#This Row],[début]],deb_nuit))*24,(MAX(deb_nuit,Horaires35673[[#This Row],[Fin]])-MAX(deb_nuit,Horaires35673[[#This Row],[début]])+MAX(MIN(fin_nuit-1,Horaires35673[[#This Row],[Fin]])-MIN(fin_nuit-1,Horaires35673[[#This Row],[début]]),0))*24)</f>
        <v>0</v>
      </c>
      <c r="O23" s="55">
        <f>(MAX(0,MIN(Horaires35673[[#This Row],[Fin corrigée si nuit]],fin_nuit)-MAX(Horaires35673[[#This Row],[début]],deb_nuit))-IF(Horaires35673[[#This Row],[PNP Début]]=0,0,MIN(Horaires35673[[#This Row],[PNP Fin corrigée]],fin_nuit)-MAX(Horaires35673[[#This Row],[PNP Début corrigé]],deb_nuit)))*24</f>
        <v>0</v>
      </c>
      <c r="P23" s="55">
        <f>(IF(WEEKDAY(Horaires35673[[#This Row],[Date]],2)=7,MAX(0,MIN(fin_dimJF,Horaires35673[[#This Row],[Fin corrigée si nuit]])-MAX(deb_dimJF,Horaires35673[[#This Row],[début]])),0)+IF(WEEKDAY(Horaires35673[[#This Row],[Date]],2)=6,MAX(0,Horaires35673[[#This Row],[Fin corrigée si nuit]]-(1+deb_dimJF)),0))*24</f>
        <v>0</v>
      </c>
      <c r="Q23" s="55">
        <f>(IF(WEEKDAY(Horaires35673[[#This Row],[Date]],2)=7,MAX(0,MIN(fin_dimJF,Horaires35673[[#This Row],[Fin corrigée si nuit]])-MAX(deb_dimJF,Horaires35673[[#This Row],[début]])),0)+IF(WEEKDAY(Horaires35673[[#This Row],[Date]],2)=6,MAX(0,Horaires35673[[#This Row],[Fin corrigée si nuit]]-(1+deb_dimJF)),0))*24-
(IF(WEEKDAY(Horaires35673[[#This Row],[Date]],2)=7,MAX(0,MIN(fin_dimJF,Horaires35673[[#This Row],[PNP Fin corrigée]])-MAX(deb_dimJF,Horaires35673[[#This Row],[PNP Début corrigé]])),0)+IF(WEEKDAY(Horaires35673[[#This Row],[Date]],2)=6,MAX(0,Horaires35673[[#This Row],[PNP Fin corrigée]]-(1+deb_dimJF)),0))*24</f>
        <v>0</v>
      </c>
      <c r="R23" s="55">
        <f>(IF(COUNTIF(JF,Horaires35673[[#This Row],[Date]]),MAX(0,MIN(fin_dimJF,Horaires35673[[#This Row],[Fin corrigée si nuit]])-MAX(deb_dimJF,Horaires35673[[#This Row],[début]])),0)+IF(COUNTIF(JF,Horaires35673[[#This Row],[Date]]+1),MAX(0,Horaires35673[[#This Row],[Fin corrigée si nuit]]-(1+deb_dimJF)),0))*24</f>
        <v>0</v>
      </c>
      <c r="S23" s="55">
        <f>(IF(COUNTIF(JF,Horaires35673[[#This Row],[Date]]),MAX(0,MIN(fin_dimJF,Horaires35673[[#This Row],[Fin corrigée si nuit]])-MAX(deb_dimJF,Horaires35673[[#This Row],[début]])),0)+IF(COUNTIF(JF,Horaires35673[[#This Row],[Date]]+1),MAX(0,Horaires35673[[#This Row],[Fin corrigée si nuit]]-(1+deb_dimJF)),0))*24-
(IF(COUNTIF(JF,Horaires35673[[#This Row],[Date]]),MAX(0,MIN(fin_dimJF,Horaires35673[[#This Row],[PNP Fin corrigée]])-MAX(deb_dimJF,Horaires35673[[#This Row],[PNP Début corrigé]])),0)+IF(COUNTIF(JF,Horaires35673[[#This Row],[Date]]+1),MAX(0,Horaires35673[[#This Row],[PNP Fin corrigée]]-(1+deb_dimJF)),0))*24</f>
        <v>0</v>
      </c>
    </row>
    <row r="24" spans="1:19" ht="14.4" customHeight="1" x14ac:dyDescent="0.35">
      <c r="A24" s="5"/>
      <c r="B24" s="1"/>
      <c r="C24" s="2"/>
      <c r="D24" s="2"/>
      <c r="E24" s="3"/>
      <c r="F24" s="3"/>
      <c r="G24" s="3"/>
      <c r="H24" s="3"/>
      <c r="I24" s="51">
        <f>0.1*(Horaires35673[[#This Row],[Heures de nuit]]+Horaires35673[[#This Row],[heures jour dimanche]]+Horaires35673[[#This Row],[heures jour fériés]])</f>
        <v>0</v>
      </c>
      <c r="J24" s="52">
        <f>(MOD(Horaires35673[[#This Row],[Fin]]-Horaires35673[[#This Row],[début]],1)-MOD(Horaires35673[[#This Row],[PNP Fin]]-Horaires35673[[#This Row],[PNP Début]],1))*24</f>
        <v>0</v>
      </c>
      <c r="K24" s="53">
        <f>IF(Horaires35673[[#This Row],[PNP Début]]=0,0,IF(Horaires35673[[#This Row],[PNP Début]]&lt;Horaires35673[[#This Row],[début]],1,0)+Horaires35673[[#This Row],[PNP Début]])</f>
        <v>0</v>
      </c>
      <c r="L24" s="54">
        <f>IF(Horaires35673[[#This Row],[PNP Fin]]=0,0,IF(Horaires35673[[#This Row],[PNP Fin]]&lt;Horaires35673[[#This Row],[début]],1,0)+Horaires35673[[#This Row],[PNP Fin]])</f>
        <v>0</v>
      </c>
      <c r="M24" s="54">
        <f>IF(Horaires35673[[#This Row],[Fin]]&lt;Horaires35673[[#This Row],[début]],1,0)+Horaires35673[[#This Row],[Fin]]</f>
        <v>0</v>
      </c>
      <c r="N24" s="35">
        <f>IF(Horaires35673[[#This Row],[Fin]]&lt;Horaires35673[[#This Row],[début]],MAX(0,MIN(Horaires35673[[#This Row],[Fin corrigée si nuit]],fin_nuit)-MAX(Horaires35673[[#This Row],[début]],deb_nuit))*24,(MAX(deb_nuit,Horaires35673[[#This Row],[Fin]])-MAX(deb_nuit,Horaires35673[[#This Row],[début]])+MAX(MIN(fin_nuit-1,Horaires35673[[#This Row],[Fin]])-MIN(fin_nuit-1,Horaires35673[[#This Row],[début]]),0))*24)</f>
        <v>0</v>
      </c>
      <c r="O24" s="55">
        <f>(MAX(0,MIN(Horaires35673[[#This Row],[Fin corrigée si nuit]],fin_nuit)-MAX(Horaires35673[[#This Row],[début]],deb_nuit))-IF(Horaires35673[[#This Row],[PNP Début]]=0,0,MIN(Horaires35673[[#This Row],[PNP Fin corrigée]],fin_nuit)-MAX(Horaires35673[[#This Row],[PNP Début corrigé]],deb_nuit)))*24</f>
        <v>0</v>
      </c>
      <c r="P24" s="55">
        <f>(IF(WEEKDAY(Horaires35673[[#This Row],[Date]],2)=7,MAX(0,MIN(fin_dimJF,Horaires35673[[#This Row],[Fin corrigée si nuit]])-MAX(deb_dimJF,Horaires35673[[#This Row],[début]])),0)+IF(WEEKDAY(Horaires35673[[#This Row],[Date]],2)=6,MAX(0,Horaires35673[[#This Row],[Fin corrigée si nuit]]-(1+deb_dimJF)),0))*24</f>
        <v>0</v>
      </c>
      <c r="Q24" s="55">
        <f>(IF(WEEKDAY(Horaires35673[[#This Row],[Date]],2)=7,MAX(0,MIN(fin_dimJF,Horaires35673[[#This Row],[Fin corrigée si nuit]])-MAX(deb_dimJF,Horaires35673[[#This Row],[début]])),0)+IF(WEEKDAY(Horaires35673[[#This Row],[Date]],2)=6,MAX(0,Horaires35673[[#This Row],[Fin corrigée si nuit]]-(1+deb_dimJF)),0))*24-
(IF(WEEKDAY(Horaires35673[[#This Row],[Date]],2)=7,MAX(0,MIN(fin_dimJF,Horaires35673[[#This Row],[PNP Fin corrigée]])-MAX(deb_dimJF,Horaires35673[[#This Row],[PNP Début corrigé]])),0)+IF(WEEKDAY(Horaires35673[[#This Row],[Date]],2)=6,MAX(0,Horaires35673[[#This Row],[PNP Fin corrigée]]-(1+deb_dimJF)),0))*24</f>
        <v>0</v>
      </c>
      <c r="R24" s="55">
        <f>(IF(COUNTIF(JF,Horaires35673[[#This Row],[Date]]),MAX(0,MIN(fin_dimJF,Horaires35673[[#This Row],[Fin corrigée si nuit]])-MAX(deb_dimJF,Horaires35673[[#This Row],[début]])),0)+IF(COUNTIF(JF,Horaires35673[[#This Row],[Date]]+1),MAX(0,Horaires35673[[#This Row],[Fin corrigée si nuit]]-(1+deb_dimJF)),0))*24</f>
        <v>0</v>
      </c>
      <c r="S24" s="55">
        <f>(IF(COUNTIF(JF,Horaires35673[[#This Row],[Date]]),MAX(0,MIN(fin_dimJF,Horaires35673[[#This Row],[Fin corrigée si nuit]])-MAX(deb_dimJF,Horaires35673[[#This Row],[début]])),0)+IF(COUNTIF(JF,Horaires35673[[#This Row],[Date]]+1),MAX(0,Horaires35673[[#This Row],[Fin corrigée si nuit]]-(1+deb_dimJF)),0))*24-
(IF(COUNTIF(JF,Horaires35673[[#This Row],[Date]]),MAX(0,MIN(fin_dimJF,Horaires35673[[#This Row],[PNP Fin corrigée]])-MAX(deb_dimJF,Horaires35673[[#This Row],[PNP Début corrigé]])),0)+IF(COUNTIF(JF,Horaires35673[[#This Row],[Date]]+1),MAX(0,Horaires35673[[#This Row],[PNP Fin corrigée]]-(1+deb_dimJF)),0))*24</f>
        <v>0</v>
      </c>
    </row>
    <row r="25" spans="1:19" ht="14.4" customHeight="1" x14ac:dyDescent="0.35">
      <c r="A25" s="5"/>
      <c r="B25" s="1"/>
      <c r="C25" s="2"/>
      <c r="D25" s="2"/>
      <c r="E25" s="3"/>
      <c r="F25" s="3"/>
      <c r="G25" s="3"/>
      <c r="H25" s="3"/>
      <c r="I25" s="51">
        <f>0.1*(Horaires35673[[#This Row],[Heures de nuit]]+Horaires35673[[#This Row],[heures jour dimanche]]+Horaires35673[[#This Row],[heures jour fériés]])</f>
        <v>0</v>
      </c>
      <c r="J25" s="52">
        <f>(MOD(Horaires35673[[#This Row],[Fin]]-Horaires35673[[#This Row],[début]],1)-MOD(Horaires35673[[#This Row],[PNP Fin]]-Horaires35673[[#This Row],[PNP Début]],1))*24</f>
        <v>0</v>
      </c>
      <c r="K25" s="53">
        <f>IF(Horaires35673[[#This Row],[PNP Début]]=0,0,IF(Horaires35673[[#This Row],[PNP Début]]&lt;Horaires35673[[#This Row],[début]],1,0)+Horaires35673[[#This Row],[PNP Début]])</f>
        <v>0</v>
      </c>
      <c r="L25" s="54">
        <f>IF(Horaires35673[[#This Row],[PNP Fin]]=0,0,IF(Horaires35673[[#This Row],[PNP Fin]]&lt;Horaires35673[[#This Row],[début]],1,0)+Horaires35673[[#This Row],[PNP Fin]])</f>
        <v>0</v>
      </c>
      <c r="M25" s="54">
        <f>IF(Horaires35673[[#This Row],[Fin]]&lt;Horaires35673[[#This Row],[début]],1,0)+Horaires35673[[#This Row],[Fin]]</f>
        <v>0</v>
      </c>
      <c r="N25" s="35">
        <f>IF(Horaires35673[[#This Row],[Fin]]&lt;Horaires35673[[#This Row],[début]],MAX(0,MIN(Horaires35673[[#This Row],[Fin corrigée si nuit]],fin_nuit)-MAX(Horaires35673[[#This Row],[début]],deb_nuit))*24,(MAX(deb_nuit,Horaires35673[[#This Row],[Fin]])-MAX(deb_nuit,Horaires35673[[#This Row],[début]])+MAX(MIN(fin_nuit-1,Horaires35673[[#This Row],[Fin]])-MIN(fin_nuit-1,Horaires35673[[#This Row],[début]]),0))*24)</f>
        <v>0</v>
      </c>
      <c r="O25" s="55">
        <f>(MAX(0,MIN(Horaires35673[[#This Row],[Fin corrigée si nuit]],fin_nuit)-MAX(Horaires35673[[#This Row],[début]],deb_nuit))-IF(Horaires35673[[#This Row],[PNP Début]]=0,0,MIN(Horaires35673[[#This Row],[PNP Fin corrigée]],fin_nuit)-MAX(Horaires35673[[#This Row],[PNP Début corrigé]],deb_nuit)))*24</f>
        <v>0</v>
      </c>
      <c r="P25" s="55">
        <f>(IF(WEEKDAY(Horaires35673[[#This Row],[Date]],2)=7,MAX(0,MIN(fin_dimJF,Horaires35673[[#This Row],[Fin corrigée si nuit]])-MAX(deb_dimJF,Horaires35673[[#This Row],[début]])),0)+IF(WEEKDAY(Horaires35673[[#This Row],[Date]],2)=6,MAX(0,Horaires35673[[#This Row],[Fin corrigée si nuit]]-(1+deb_dimJF)),0))*24</f>
        <v>0</v>
      </c>
      <c r="Q25" s="55">
        <f>(IF(WEEKDAY(Horaires35673[[#This Row],[Date]],2)=7,MAX(0,MIN(fin_dimJF,Horaires35673[[#This Row],[Fin corrigée si nuit]])-MAX(deb_dimJF,Horaires35673[[#This Row],[début]])),0)+IF(WEEKDAY(Horaires35673[[#This Row],[Date]],2)=6,MAX(0,Horaires35673[[#This Row],[Fin corrigée si nuit]]-(1+deb_dimJF)),0))*24-
(IF(WEEKDAY(Horaires35673[[#This Row],[Date]],2)=7,MAX(0,MIN(fin_dimJF,Horaires35673[[#This Row],[PNP Fin corrigée]])-MAX(deb_dimJF,Horaires35673[[#This Row],[PNP Début corrigé]])),0)+IF(WEEKDAY(Horaires35673[[#This Row],[Date]],2)=6,MAX(0,Horaires35673[[#This Row],[PNP Fin corrigée]]-(1+deb_dimJF)),0))*24</f>
        <v>0</v>
      </c>
      <c r="R25" s="55">
        <f>(IF(COUNTIF(JF,Horaires35673[[#This Row],[Date]]),MAX(0,MIN(fin_dimJF,Horaires35673[[#This Row],[Fin corrigée si nuit]])-MAX(deb_dimJF,Horaires35673[[#This Row],[début]])),0)+IF(COUNTIF(JF,Horaires35673[[#This Row],[Date]]+1),MAX(0,Horaires35673[[#This Row],[Fin corrigée si nuit]]-(1+deb_dimJF)),0))*24</f>
        <v>0</v>
      </c>
      <c r="S25" s="55">
        <f>(IF(COUNTIF(JF,Horaires35673[[#This Row],[Date]]),MAX(0,MIN(fin_dimJF,Horaires35673[[#This Row],[Fin corrigée si nuit]])-MAX(deb_dimJF,Horaires35673[[#This Row],[début]])),0)+IF(COUNTIF(JF,Horaires35673[[#This Row],[Date]]+1),MAX(0,Horaires35673[[#This Row],[Fin corrigée si nuit]]-(1+deb_dimJF)),0))*24-
(IF(COUNTIF(JF,Horaires35673[[#This Row],[Date]]),MAX(0,MIN(fin_dimJF,Horaires35673[[#This Row],[PNP Fin corrigée]])-MAX(deb_dimJF,Horaires35673[[#This Row],[PNP Début corrigé]])),0)+IF(COUNTIF(JF,Horaires35673[[#This Row],[Date]]+1),MAX(0,Horaires35673[[#This Row],[PNP Fin corrigée]]-(1+deb_dimJF)),0))*24</f>
        <v>0</v>
      </c>
    </row>
    <row r="26" spans="1:19" ht="14.4" customHeight="1" x14ac:dyDescent="0.35">
      <c r="A26" s="5"/>
      <c r="B26" s="1"/>
      <c r="C26" s="2"/>
      <c r="D26" s="2"/>
      <c r="E26" s="3"/>
      <c r="F26" s="3"/>
      <c r="G26" s="3"/>
      <c r="H26" s="3"/>
      <c r="I26" s="51">
        <f>0.1*(Horaires35673[[#This Row],[Heures de nuit]]+Horaires35673[[#This Row],[heures jour dimanche]]+Horaires35673[[#This Row],[heures jour fériés]])</f>
        <v>0</v>
      </c>
      <c r="J26" s="52">
        <f>(MOD(Horaires35673[[#This Row],[Fin]]-Horaires35673[[#This Row],[début]],1)-MOD(Horaires35673[[#This Row],[PNP Fin]]-Horaires35673[[#This Row],[PNP Début]],1))*24</f>
        <v>0</v>
      </c>
      <c r="K26" s="53">
        <f>IF(Horaires35673[[#This Row],[PNP Début]]=0,0,IF(Horaires35673[[#This Row],[PNP Début]]&lt;Horaires35673[[#This Row],[début]],1,0)+Horaires35673[[#This Row],[PNP Début]])</f>
        <v>0</v>
      </c>
      <c r="L26" s="54">
        <f>IF(Horaires35673[[#This Row],[PNP Fin]]=0,0,IF(Horaires35673[[#This Row],[PNP Fin]]&lt;Horaires35673[[#This Row],[début]],1,0)+Horaires35673[[#This Row],[PNP Fin]])</f>
        <v>0</v>
      </c>
      <c r="M26" s="54">
        <f>IF(Horaires35673[[#This Row],[Fin]]&lt;Horaires35673[[#This Row],[début]],1,0)+Horaires35673[[#This Row],[Fin]]</f>
        <v>0</v>
      </c>
      <c r="N26" s="35">
        <f>IF(Horaires35673[[#This Row],[Fin]]&lt;Horaires35673[[#This Row],[début]],MAX(0,MIN(Horaires35673[[#This Row],[Fin corrigée si nuit]],fin_nuit)-MAX(Horaires35673[[#This Row],[début]],deb_nuit))*24,(MAX(deb_nuit,Horaires35673[[#This Row],[Fin]])-MAX(deb_nuit,Horaires35673[[#This Row],[début]])+MAX(MIN(fin_nuit-1,Horaires35673[[#This Row],[Fin]])-MIN(fin_nuit-1,Horaires35673[[#This Row],[début]]),0))*24)</f>
        <v>0</v>
      </c>
      <c r="O26" s="55">
        <f>(MAX(0,MIN(Horaires35673[[#This Row],[Fin corrigée si nuit]],fin_nuit)-MAX(Horaires35673[[#This Row],[début]],deb_nuit))-IF(Horaires35673[[#This Row],[PNP Début]]=0,0,MIN(Horaires35673[[#This Row],[PNP Fin corrigée]],fin_nuit)-MAX(Horaires35673[[#This Row],[PNP Début corrigé]],deb_nuit)))*24</f>
        <v>0</v>
      </c>
      <c r="P26" s="55">
        <f>(IF(WEEKDAY(Horaires35673[[#This Row],[Date]],2)=7,MAX(0,MIN(fin_dimJF,Horaires35673[[#This Row],[Fin corrigée si nuit]])-MAX(deb_dimJF,Horaires35673[[#This Row],[début]])),0)+IF(WEEKDAY(Horaires35673[[#This Row],[Date]],2)=6,MAX(0,Horaires35673[[#This Row],[Fin corrigée si nuit]]-(1+deb_dimJF)),0))*24</f>
        <v>0</v>
      </c>
      <c r="Q26" s="55">
        <f>(IF(WEEKDAY(Horaires35673[[#This Row],[Date]],2)=7,MAX(0,MIN(fin_dimJF,Horaires35673[[#This Row],[Fin corrigée si nuit]])-MAX(deb_dimJF,Horaires35673[[#This Row],[début]])),0)+IF(WEEKDAY(Horaires35673[[#This Row],[Date]],2)=6,MAX(0,Horaires35673[[#This Row],[Fin corrigée si nuit]]-(1+deb_dimJF)),0))*24-
(IF(WEEKDAY(Horaires35673[[#This Row],[Date]],2)=7,MAX(0,MIN(fin_dimJF,Horaires35673[[#This Row],[PNP Fin corrigée]])-MAX(deb_dimJF,Horaires35673[[#This Row],[PNP Début corrigé]])),0)+IF(WEEKDAY(Horaires35673[[#This Row],[Date]],2)=6,MAX(0,Horaires35673[[#This Row],[PNP Fin corrigée]]-(1+deb_dimJF)),0))*24</f>
        <v>0</v>
      </c>
      <c r="R26" s="55">
        <f>(IF(COUNTIF(JF,Horaires35673[[#This Row],[Date]]),MAX(0,MIN(fin_dimJF,Horaires35673[[#This Row],[Fin corrigée si nuit]])-MAX(deb_dimJF,Horaires35673[[#This Row],[début]])),0)+IF(COUNTIF(JF,Horaires35673[[#This Row],[Date]]+1),MAX(0,Horaires35673[[#This Row],[Fin corrigée si nuit]]-(1+deb_dimJF)),0))*24</f>
        <v>0</v>
      </c>
      <c r="S26" s="55">
        <f>(IF(COUNTIF(JF,Horaires35673[[#This Row],[Date]]),MAX(0,MIN(fin_dimJF,Horaires35673[[#This Row],[Fin corrigée si nuit]])-MAX(deb_dimJF,Horaires35673[[#This Row],[début]])),0)+IF(COUNTIF(JF,Horaires35673[[#This Row],[Date]]+1),MAX(0,Horaires35673[[#This Row],[Fin corrigée si nuit]]-(1+deb_dimJF)),0))*24-
(IF(COUNTIF(JF,Horaires35673[[#This Row],[Date]]),MAX(0,MIN(fin_dimJF,Horaires35673[[#This Row],[PNP Fin corrigée]])-MAX(deb_dimJF,Horaires35673[[#This Row],[PNP Début corrigé]])),0)+IF(COUNTIF(JF,Horaires35673[[#This Row],[Date]]+1),MAX(0,Horaires35673[[#This Row],[PNP Fin corrigée]]-(1+deb_dimJF)),0))*24</f>
        <v>0</v>
      </c>
    </row>
    <row r="27" spans="1:19" ht="14.4" customHeight="1" x14ac:dyDescent="0.35">
      <c r="A27" s="5"/>
      <c r="B27" s="1"/>
      <c r="C27" s="2"/>
      <c r="D27" s="2"/>
      <c r="E27" s="3"/>
      <c r="F27" s="3"/>
      <c r="G27" s="3"/>
      <c r="H27" s="3"/>
      <c r="I27" s="51">
        <f>0.1*(Horaires35673[[#This Row],[Heures de nuit]]+Horaires35673[[#This Row],[heures jour dimanche]]+Horaires35673[[#This Row],[heures jour fériés]])</f>
        <v>0</v>
      </c>
      <c r="J27" s="52">
        <f>(MOD(Horaires35673[[#This Row],[Fin]]-Horaires35673[[#This Row],[début]],1)-MOD(Horaires35673[[#This Row],[PNP Fin]]-Horaires35673[[#This Row],[PNP Début]],1))*24</f>
        <v>0</v>
      </c>
      <c r="K27" s="53">
        <f>IF(Horaires35673[[#This Row],[PNP Début]]=0,0,IF(Horaires35673[[#This Row],[PNP Début]]&lt;Horaires35673[[#This Row],[début]],1,0)+Horaires35673[[#This Row],[PNP Début]])</f>
        <v>0</v>
      </c>
      <c r="L27" s="54">
        <f>IF(Horaires35673[[#This Row],[PNP Fin]]=0,0,IF(Horaires35673[[#This Row],[PNP Fin]]&lt;Horaires35673[[#This Row],[début]],1,0)+Horaires35673[[#This Row],[PNP Fin]])</f>
        <v>0</v>
      </c>
      <c r="M27" s="54">
        <f>IF(Horaires35673[[#This Row],[Fin]]&lt;Horaires35673[[#This Row],[début]],1,0)+Horaires35673[[#This Row],[Fin]]</f>
        <v>0</v>
      </c>
      <c r="N27" s="35">
        <f>IF(Horaires35673[[#This Row],[Fin]]&lt;Horaires35673[[#This Row],[début]],MAX(0,MIN(Horaires35673[[#This Row],[Fin corrigée si nuit]],fin_nuit)-MAX(Horaires35673[[#This Row],[début]],deb_nuit))*24,(MAX(deb_nuit,Horaires35673[[#This Row],[Fin]])-MAX(deb_nuit,Horaires35673[[#This Row],[début]])+MAX(MIN(fin_nuit-1,Horaires35673[[#This Row],[Fin]])-MIN(fin_nuit-1,Horaires35673[[#This Row],[début]]),0))*24)</f>
        <v>0</v>
      </c>
      <c r="O27" s="55">
        <f>(MAX(0,MIN(Horaires35673[[#This Row],[Fin corrigée si nuit]],fin_nuit)-MAX(Horaires35673[[#This Row],[début]],deb_nuit))-IF(Horaires35673[[#This Row],[PNP Début]]=0,0,MIN(Horaires35673[[#This Row],[PNP Fin corrigée]],fin_nuit)-MAX(Horaires35673[[#This Row],[PNP Début corrigé]],deb_nuit)))*24</f>
        <v>0</v>
      </c>
      <c r="P27" s="55">
        <f>(IF(WEEKDAY(Horaires35673[[#This Row],[Date]],2)=7,MAX(0,MIN(fin_dimJF,Horaires35673[[#This Row],[Fin corrigée si nuit]])-MAX(deb_dimJF,Horaires35673[[#This Row],[début]])),0)+IF(WEEKDAY(Horaires35673[[#This Row],[Date]],2)=6,MAX(0,Horaires35673[[#This Row],[Fin corrigée si nuit]]-(1+deb_dimJF)),0))*24</f>
        <v>0</v>
      </c>
      <c r="Q27" s="55">
        <f>(IF(WEEKDAY(Horaires35673[[#This Row],[Date]],2)=7,MAX(0,MIN(fin_dimJF,Horaires35673[[#This Row],[Fin corrigée si nuit]])-MAX(deb_dimJF,Horaires35673[[#This Row],[début]])),0)+IF(WEEKDAY(Horaires35673[[#This Row],[Date]],2)=6,MAX(0,Horaires35673[[#This Row],[Fin corrigée si nuit]]-(1+deb_dimJF)),0))*24-
(IF(WEEKDAY(Horaires35673[[#This Row],[Date]],2)=7,MAX(0,MIN(fin_dimJF,Horaires35673[[#This Row],[PNP Fin corrigée]])-MAX(deb_dimJF,Horaires35673[[#This Row],[PNP Début corrigé]])),0)+IF(WEEKDAY(Horaires35673[[#This Row],[Date]],2)=6,MAX(0,Horaires35673[[#This Row],[PNP Fin corrigée]]-(1+deb_dimJF)),0))*24</f>
        <v>0</v>
      </c>
      <c r="R27" s="55">
        <f>(IF(COUNTIF(JF,Horaires35673[[#This Row],[Date]]),MAX(0,MIN(fin_dimJF,Horaires35673[[#This Row],[Fin corrigée si nuit]])-MAX(deb_dimJF,Horaires35673[[#This Row],[début]])),0)+IF(COUNTIF(JF,Horaires35673[[#This Row],[Date]]+1),MAX(0,Horaires35673[[#This Row],[Fin corrigée si nuit]]-(1+deb_dimJF)),0))*24</f>
        <v>0</v>
      </c>
      <c r="S27" s="55">
        <f>(IF(COUNTIF(JF,Horaires35673[[#This Row],[Date]]),MAX(0,MIN(fin_dimJF,Horaires35673[[#This Row],[Fin corrigée si nuit]])-MAX(deb_dimJF,Horaires35673[[#This Row],[début]])),0)+IF(COUNTIF(JF,Horaires35673[[#This Row],[Date]]+1),MAX(0,Horaires35673[[#This Row],[Fin corrigée si nuit]]-(1+deb_dimJF)),0))*24-
(IF(COUNTIF(JF,Horaires35673[[#This Row],[Date]]),MAX(0,MIN(fin_dimJF,Horaires35673[[#This Row],[PNP Fin corrigée]])-MAX(deb_dimJF,Horaires35673[[#This Row],[PNP Début corrigé]])),0)+IF(COUNTIF(JF,Horaires35673[[#This Row],[Date]]+1),MAX(0,Horaires35673[[#This Row],[PNP Fin corrigée]]-(1+deb_dimJF)),0))*24</f>
        <v>0</v>
      </c>
    </row>
    <row r="28" spans="1:19" ht="14.4" customHeight="1" x14ac:dyDescent="0.35">
      <c r="A28" s="5"/>
      <c r="B28" s="1"/>
      <c r="C28" s="2"/>
      <c r="D28" s="2"/>
      <c r="E28" s="3"/>
      <c r="F28" s="3"/>
      <c r="G28" s="3"/>
      <c r="H28" s="3"/>
      <c r="I28" s="51">
        <f>0.1*(Horaires35673[[#This Row],[Heures de nuit]]+Horaires35673[[#This Row],[heures jour dimanche]]+Horaires35673[[#This Row],[heures jour fériés]])</f>
        <v>0</v>
      </c>
      <c r="J28" s="52">
        <f>(MOD(Horaires35673[[#This Row],[Fin]]-Horaires35673[[#This Row],[début]],1)-MOD(Horaires35673[[#This Row],[PNP Fin]]-Horaires35673[[#This Row],[PNP Début]],1))*24</f>
        <v>0</v>
      </c>
      <c r="K28" s="53">
        <f>IF(Horaires35673[[#This Row],[PNP Début]]=0,0,IF(Horaires35673[[#This Row],[PNP Début]]&lt;Horaires35673[[#This Row],[début]],1,0)+Horaires35673[[#This Row],[PNP Début]])</f>
        <v>0</v>
      </c>
      <c r="L28" s="54">
        <f>IF(Horaires35673[[#This Row],[PNP Fin]]=0,0,IF(Horaires35673[[#This Row],[PNP Fin]]&lt;Horaires35673[[#This Row],[début]],1,0)+Horaires35673[[#This Row],[PNP Fin]])</f>
        <v>0</v>
      </c>
      <c r="M28" s="54">
        <f>IF(Horaires35673[[#This Row],[Fin]]&lt;Horaires35673[[#This Row],[début]],1,0)+Horaires35673[[#This Row],[Fin]]</f>
        <v>0</v>
      </c>
      <c r="N28" s="35">
        <f>IF(Horaires35673[[#This Row],[Fin]]&lt;Horaires35673[[#This Row],[début]],MAX(0,MIN(Horaires35673[[#This Row],[Fin corrigée si nuit]],fin_nuit)-MAX(Horaires35673[[#This Row],[début]],deb_nuit))*24,(MAX(deb_nuit,Horaires35673[[#This Row],[Fin]])-MAX(deb_nuit,Horaires35673[[#This Row],[début]])+MAX(MIN(fin_nuit-1,Horaires35673[[#This Row],[Fin]])-MIN(fin_nuit-1,Horaires35673[[#This Row],[début]]),0))*24)</f>
        <v>0</v>
      </c>
      <c r="O28" s="55">
        <f>(MAX(0,MIN(Horaires35673[[#This Row],[Fin corrigée si nuit]],fin_nuit)-MAX(Horaires35673[[#This Row],[début]],deb_nuit))-IF(Horaires35673[[#This Row],[PNP Début]]=0,0,MIN(Horaires35673[[#This Row],[PNP Fin corrigée]],fin_nuit)-MAX(Horaires35673[[#This Row],[PNP Début corrigé]],deb_nuit)))*24</f>
        <v>0</v>
      </c>
      <c r="P28" s="55">
        <f>(IF(WEEKDAY(Horaires35673[[#This Row],[Date]],2)=7,MAX(0,MIN(fin_dimJF,Horaires35673[[#This Row],[Fin corrigée si nuit]])-MAX(deb_dimJF,Horaires35673[[#This Row],[début]])),0)+IF(WEEKDAY(Horaires35673[[#This Row],[Date]],2)=6,MAX(0,Horaires35673[[#This Row],[Fin corrigée si nuit]]-(1+deb_dimJF)),0))*24</f>
        <v>0</v>
      </c>
      <c r="Q28" s="55">
        <f>(IF(WEEKDAY(Horaires35673[[#This Row],[Date]],2)=7,MAX(0,MIN(fin_dimJF,Horaires35673[[#This Row],[Fin corrigée si nuit]])-MAX(deb_dimJF,Horaires35673[[#This Row],[début]])),0)+IF(WEEKDAY(Horaires35673[[#This Row],[Date]],2)=6,MAX(0,Horaires35673[[#This Row],[Fin corrigée si nuit]]-(1+deb_dimJF)),0))*24-
(IF(WEEKDAY(Horaires35673[[#This Row],[Date]],2)=7,MAX(0,MIN(fin_dimJF,Horaires35673[[#This Row],[PNP Fin corrigée]])-MAX(deb_dimJF,Horaires35673[[#This Row],[PNP Début corrigé]])),0)+IF(WEEKDAY(Horaires35673[[#This Row],[Date]],2)=6,MAX(0,Horaires35673[[#This Row],[PNP Fin corrigée]]-(1+deb_dimJF)),0))*24</f>
        <v>0</v>
      </c>
      <c r="R28" s="55">
        <f>(IF(COUNTIF(JF,Horaires35673[[#This Row],[Date]]),MAX(0,MIN(fin_dimJF,Horaires35673[[#This Row],[Fin corrigée si nuit]])-MAX(deb_dimJF,Horaires35673[[#This Row],[début]])),0)+IF(COUNTIF(JF,Horaires35673[[#This Row],[Date]]+1),MAX(0,Horaires35673[[#This Row],[Fin corrigée si nuit]]-(1+deb_dimJF)),0))*24</f>
        <v>0</v>
      </c>
      <c r="S28" s="55">
        <f>(IF(COUNTIF(JF,Horaires35673[[#This Row],[Date]]),MAX(0,MIN(fin_dimJF,Horaires35673[[#This Row],[Fin corrigée si nuit]])-MAX(deb_dimJF,Horaires35673[[#This Row],[début]])),0)+IF(COUNTIF(JF,Horaires35673[[#This Row],[Date]]+1),MAX(0,Horaires35673[[#This Row],[Fin corrigée si nuit]]-(1+deb_dimJF)),0))*24-
(IF(COUNTIF(JF,Horaires35673[[#This Row],[Date]]),MAX(0,MIN(fin_dimJF,Horaires35673[[#This Row],[PNP Fin corrigée]])-MAX(deb_dimJF,Horaires35673[[#This Row],[PNP Début corrigé]])),0)+IF(COUNTIF(JF,Horaires35673[[#This Row],[Date]]+1),MAX(0,Horaires35673[[#This Row],[PNP Fin corrigée]]-(1+deb_dimJF)),0))*24</f>
        <v>0</v>
      </c>
    </row>
    <row r="29" spans="1:19" ht="14.4" customHeight="1" x14ac:dyDescent="0.35">
      <c r="A29" s="5"/>
      <c r="B29" s="1"/>
      <c r="C29" s="2"/>
      <c r="D29" s="2"/>
      <c r="E29" s="3"/>
      <c r="F29" s="3"/>
      <c r="G29" s="3"/>
      <c r="H29" s="3"/>
      <c r="I29" s="51">
        <f>0.1*(Horaires35673[[#This Row],[Heures de nuit]]+Horaires35673[[#This Row],[heures jour dimanche]]+Horaires35673[[#This Row],[heures jour fériés]])</f>
        <v>0</v>
      </c>
      <c r="J29" s="52">
        <f>(MOD(Horaires35673[[#This Row],[Fin]]-Horaires35673[[#This Row],[début]],1)-MOD(Horaires35673[[#This Row],[PNP Fin]]-Horaires35673[[#This Row],[PNP Début]],1))*24</f>
        <v>0</v>
      </c>
      <c r="K29" s="53">
        <f>IF(Horaires35673[[#This Row],[PNP Début]]=0,0,IF(Horaires35673[[#This Row],[PNP Début]]&lt;Horaires35673[[#This Row],[début]],1,0)+Horaires35673[[#This Row],[PNP Début]])</f>
        <v>0</v>
      </c>
      <c r="L29" s="54">
        <f>IF(Horaires35673[[#This Row],[PNP Fin]]=0,0,IF(Horaires35673[[#This Row],[PNP Fin]]&lt;Horaires35673[[#This Row],[début]],1,0)+Horaires35673[[#This Row],[PNP Fin]])</f>
        <v>0</v>
      </c>
      <c r="M29" s="54">
        <f>IF(Horaires35673[[#This Row],[Fin]]&lt;Horaires35673[[#This Row],[début]],1,0)+Horaires35673[[#This Row],[Fin]]</f>
        <v>0</v>
      </c>
      <c r="N29" s="35">
        <f>IF(Horaires35673[[#This Row],[Fin]]&lt;Horaires35673[[#This Row],[début]],MAX(0,MIN(Horaires35673[[#This Row],[Fin corrigée si nuit]],fin_nuit)-MAX(Horaires35673[[#This Row],[début]],deb_nuit))*24,(MAX(deb_nuit,Horaires35673[[#This Row],[Fin]])-MAX(deb_nuit,Horaires35673[[#This Row],[début]])+MAX(MIN(fin_nuit-1,Horaires35673[[#This Row],[Fin]])-MIN(fin_nuit-1,Horaires35673[[#This Row],[début]]),0))*24)</f>
        <v>0</v>
      </c>
      <c r="O29" s="55">
        <f>(MAX(0,MIN(Horaires35673[[#This Row],[Fin corrigée si nuit]],fin_nuit)-MAX(Horaires35673[[#This Row],[début]],deb_nuit))-IF(Horaires35673[[#This Row],[PNP Début]]=0,0,MIN(Horaires35673[[#This Row],[PNP Fin corrigée]],fin_nuit)-MAX(Horaires35673[[#This Row],[PNP Début corrigé]],deb_nuit)))*24</f>
        <v>0</v>
      </c>
      <c r="P29" s="55">
        <f>(IF(WEEKDAY(Horaires35673[[#This Row],[Date]],2)=7,MAX(0,MIN(fin_dimJF,Horaires35673[[#This Row],[Fin corrigée si nuit]])-MAX(deb_dimJF,Horaires35673[[#This Row],[début]])),0)+IF(WEEKDAY(Horaires35673[[#This Row],[Date]],2)=6,MAX(0,Horaires35673[[#This Row],[Fin corrigée si nuit]]-(1+deb_dimJF)),0))*24</f>
        <v>0</v>
      </c>
      <c r="Q29" s="55">
        <f>(IF(WEEKDAY(Horaires35673[[#This Row],[Date]],2)=7,MAX(0,MIN(fin_dimJF,Horaires35673[[#This Row],[Fin corrigée si nuit]])-MAX(deb_dimJF,Horaires35673[[#This Row],[début]])),0)+IF(WEEKDAY(Horaires35673[[#This Row],[Date]],2)=6,MAX(0,Horaires35673[[#This Row],[Fin corrigée si nuit]]-(1+deb_dimJF)),0))*24-
(IF(WEEKDAY(Horaires35673[[#This Row],[Date]],2)=7,MAX(0,MIN(fin_dimJF,Horaires35673[[#This Row],[PNP Fin corrigée]])-MAX(deb_dimJF,Horaires35673[[#This Row],[PNP Début corrigé]])),0)+IF(WEEKDAY(Horaires35673[[#This Row],[Date]],2)=6,MAX(0,Horaires35673[[#This Row],[PNP Fin corrigée]]-(1+deb_dimJF)),0))*24</f>
        <v>0</v>
      </c>
      <c r="R29" s="55">
        <f>(IF(COUNTIF(JF,Horaires35673[[#This Row],[Date]]),MAX(0,MIN(fin_dimJF,Horaires35673[[#This Row],[Fin corrigée si nuit]])-MAX(deb_dimJF,Horaires35673[[#This Row],[début]])),0)+IF(COUNTIF(JF,Horaires35673[[#This Row],[Date]]+1),MAX(0,Horaires35673[[#This Row],[Fin corrigée si nuit]]-(1+deb_dimJF)),0))*24</f>
        <v>0</v>
      </c>
      <c r="S29" s="55">
        <f>(IF(COUNTIF(JF,Horaires35673[[#This Row],[Date]]),MAX(0,MIN(fin_dimJF,Horaires35673[[#This Row],[Fin corrigée si nuit]])-MAX(deb_dimJF,Horaires35673[[#This Row],[début]])),0)+IF(COUNTIF(JF,Horaires35673[[#This Row],[Date]]+1),MAX(0,Horaires35673[[#This Row],[Fin corrigée si nuit]]-(1+deb_dimJF)),0))*24-
(IF(COUNTIF(JF,Horaires35673[[#This Row],[Date]]),MAX(0,MIN(fin_dimJF,Horaires35673[[#This Row],[PNP Fin corrigée]])-MAX(deb_dimJF,Horaires35673[[#This Row],[PNP Début corrigé]])),0)+IF(COUNTIF(JF,Horaires35673[[#This Row],[Date]]+1),MAX(0,Horaires35673[[#This Row],[PNP Fin corrigée]]-(1+deb_dimJF)),0))*24</f>
        <v>0</v>
      </c>
    </row>
    <row r="30" spans="1:19" ht="14.4" customHeight="1" x14ac:dyDescent="0.35">
      <c r="A30" s="5"/>
      <c r="B30" s="1"/>
      <c r="C30" s="2"/>
      <c r="D30" s="2"/>
      <c r="E30" s="3"/>
      <c r="F30" s="3"/>
      <c r="G30" s="3"/>
      <c r="H30" s="3"/>
      <c r="I30" s="51">
        <f>0.1*(Horaires35673[[#This Row],[Heures de nuit]]+Horaires35673[[#This Row],[heures jour dimanche]]+Horaires35673[[#This Row],[heures jour fériés]])</f>
        <v>0</v>
      </c>
      <c r="J30" s="52">
        <f>(MOD(Horaires35673[[#This Row],[Fin]]-Horaires35673[[#This Row],[début]],1)-MOD(Horaires35673[[#This Row],[PNP Fin]]-Horaires35673[[#This Row],[PNP Début]],1))*24</f>
        <v>0</v>
      </c>
      <c r="K30" s="53">
        <f>IF(Horaires35673[[#This Row],[PNP Début]]=0,0,IF(Horaires35673[[#This Row],[PNP Début]]&lt;Horaires35673[[#This Row],[début]],1,0)+Horaires35673[[#This Row],[PNP Début]])</f>
        <v>0</v>
      </c>
      <c r="L30" s="54">
        <f>IF(Horaires35673[[#This Row],[PNP Fin]]=0,0,IF(Horaires35673[[#This Row],[PNP Fin]]&lt;Horaires35673[[#This Row],[début]],1,0)+Horaires35673[[#This Row],[PNP Fin]])</f>
        <v>0</v>
      </c>
      <c r="M30" s="54">
        <f>IF(Horaires35673[[#This Row],[Fin]]&lt;Horaires35673[[#This Row],[début]],1,0)+Horaires35673[[#This Row],[Fin]]</f>
        <v>0</v>
      </c>
      <c r="N30" s="35">
        <f>IF(Horaires35673[[#This Row],[Fin]]&lt;Horaires35673[[#This Row],[début]],MAX(0,MIN(Horaires35673[[#This Row],[Fin corrigée si nuit]],fin_nuit)-MAX(Horaires35673[[#This Row],[début]],deb_nuit))*24,(MAX(deb_nuit,Horaires35673[[#This Row],[Fin]])-MAX(deb_nuit,Horaires35673[[#This Row],[début]])+MAX(MIN(fin_nuit-1,Horaires35673[[#This Row],[Fin]])-MIN(fin_nuit-1,Horaires35673[[#This Row],[début]]),0))*24)</f>
        <v>0</v>
      </c>
      <c r="O30" s="55">
        <f>(MAX(0,MIN(Horaires35673[[#This Row],[Fin corrigée si nuit]],fin_nuit)-MAX(Horaires35673[[#This Row],[début]],deb_nuit))-IF(Horaires35673[[#This Row],[PNP Début]]=0,0,MIN(Horaires35673[[#This Row],[PNP Fin corrigée]],fin_nuit)-MAX(Horaires35673[[#This Row],[PNP Début corrigé]],deb_nuit)))*24</f>
        <v>0</v>
      </c>
      <c r="P30" s="55">
        <f>(IF(WEEKDAY(Horaires35673[[#This Row],[Date]],2)=7,MAX(0,MIN(fin_dimJF,Horaires35673[[#This Row],[Fin corrigée si nuit]])-MAX(deb_dimJF,Horaires35673[[#This Row],[début]])),0)+IF(WEEKDAY(Horaires35673[[#This Row],[Date]],2)=6,MAX(0,Horaires35673[[#This Row],[Fin corrigée si nuit]]-(1+deb_dimJF)),0))*24</f>
        <v>0</v>
      </c>
      <c r="Q30" s="55">
        <f>(IF(WEEKDAY(Horaires35673[[#This Row],[Date]],2)=7,MAX(0,MIN(fin_dimJF,Horaires35673[[#This Row],[Fin corrigée si nuit]])-MAX(deb_dimJF,Horaires35673[[#This Row],[début]])),0)+IF(WEEKDAY(Horaires35673[[#This Row],[Date]],2)=6,MAX(0,Horaires35673[[#This Row],[Fin corrigée si nuit]]-(1+deb_dimJF)),0))*24-
(IF(WEEKDAY(Horaires35673[[#This Row],[Date]],2)=7,MAX(0,MIN(fin_dimJF,Horaires35673[[#This Row],[PNP Fin corrigée]])-MAX(deb_dimJF,Horaires35673[[#This Row],[PNP Début corrigé]])),0)+IF(WEEKDAY(Horaires35673[[#This Row],[Date]],2)=6,MAX(0,Horaires35673[[#This Row],[PNP Fin corrigée]]-(1+deb_dimJF)),0))*24</f>
        <v>0</v>
      </c>
      <c r="R30" s="55">
        <f>(IF(COUNTIF(JF,Horaires35673[[#This Row],[Date]]),MAX(0,MIN(fin_dimJF,Horaires35673[[#This Row],[Fin corrigée si nuit]])-MAX(deb_dimJF,Horaires35673[[#This Row],[début]])),0)+IF(COUNTIF(JF,Horaires35673[[#This Row],[Date]]+1),MAX(0,Horaires35673[[#This Row],[Fin corrigée si nuit]]-(1+deb_dimJF)),0))*24</f>
        <v>0</v>
      </c>
      <c r="S30" s="55">
        <f>(IF(COUNTIF(JF,Horaires35673[[#This Row],[Date]]),MAX(0,MIN(fin_dimJF,Horaires35673[[#This Row],[Fin corrigée si nuit]])-MAX(deb_dimJF,Horaires35673[[#This Row],[début]])),0)+IF(COUNTIF(JF,Horaires35673[[#This Row],[Date]]+1),MAX(0,Horaires35673[[#This Row],[Fin corrigée si nuit]]-(1+deb_dimJF)),0))*24-
(IF(COUNTIF(JF,Horaires35673[[#This Row],[Date]]),MAX(0,MIN(fin_dimJF,Horaires35673[[#This Row],[PNP Fin corrigée]])-MAX(deb_dimJF,Horaires35673[[#This Row],[PNP Début corrigé]])),0)+IF(COUNTIF(JF,Horaires35673[[#This Row],[Date]]+1),MAX(0,Horaires35673[[#This Row],[PNP Fin corrigée]]-(1+deb_dimJF)),0))*24</f>
        <v>0</v>
      </c>
    </row>
    <row r="31" spans="1:19" x14ac:dyDescent="0.35">
      <c r="A31" s="5"/>
      <c r="B31" s="1"/>
      <c r="C31" s="2"/>
      <c r="D31" s="2"/>
      <c r="E31" s="3"/>
      <c r="F31" s="3"/>
      <c r="G31" s="3"/>
      <c r="H31" s="3"/>
      <c r="I31" s="51">
        <f>0.1*(Horaires35673[[#This Row],[Heures de nuit]]+Horaires35673[[#This Row],[heures jour dimanche]]+Horaires35673[[#This Row],[heures jour fériés]])</f>
        <v>0</v>
      </c>
      <c r="J31" s="52">
        <f>(MOD(Horaires35673[[#This Row],[Fin]]-Horaires35673[[#This Row],[début]],1)-MOD(Horaires35673[[#This Row],[PNP Fin]]-Horaires35673[[#This Row],[PNP Début]],1))*24</f>
        <v>0</v>
      </c>
      <c r="K31" s="53">
        <f>IF(Horaires35673[[#This Row],[PNP Début]]=0,0,IF(Horaires35673[[#This Row],[PNP Début]]&lt;Horaires35673[[#This Row],[début]],1,0)+Horaires35673[[#This Row],[PNP Début]])</f>
        <v>0</v>
      </c>
      <c r="L31" s="54">
        <f>IF(Horaires35673[[#This Row],[PNP Fin]]=0,0,IF(Horaires35673[[#This Row],[PNP Fin]]&lt;Horaires35673[[#This Row],[début]],1,0)+Horaires35673[[#This Row],[PNP Fin]])</f>
        <v>0</v>
      </c>
      <c r="M31" s="54">
        <f>IF(Horaires35673[[#This Row],[Fin]]&lt;Horaires35673[[#This Row],[début]],1,0)+Horaires35673[[#This Row],[Fin]]</f>
        <v>0</v>
      </c>
      <c r="N31" s="35">
        <f>IF(Horaires35673[[#This Row],[Fin]]&lt;Horaires35673[[#This Row],[début]],MAX(0,MIN(Horaires35673[[#This Row],[Fin corrigée si nuit]],fin_nuit)-MAX(Horaires35673[[#This Row],[début]],deb_nuit))*24,(MAX(deb_nuit,Horaires35673[[#This Row],[Fin]])-MAX(deb_nuit,Horaires35673[[#This Row],[début]])+MAX(MIN(fin_nuit-1,Horaires35673[[#This Row],[Fin]])-MIN(fin_nuit-1,Horaires35673[[#This Row],[début]]),0))*24)</f>
        <v>0</v>
      </c>
      <c r="O31" s="55">
        <f>(MAX(0,MIN(Horaires35673[[#This Row],[Fin corrigée si nuit]],fin_nuit)-MAX(Horaires35673[[#This Row],[début]],deb_nuit))-IF(Horaires35673[[#This Row],[PNP Début]]=0,0,MIN(Horaires35673[[#This Row],[PNP Fin corrigée]],fin_nuit)-MAX(Horaires35673[[#This Row],[PNP Début corrigé]],deb_nuit)))*24</f>
        <v>0</v>
      </c>
      <c r="P31" s="55">
        <f>(IF(WEEKDAY(Horaires35673[[#This Row],[Date]],2)=7,MAX(0,MIN(fin_dimJF,Horaires35673[[#This Row],[Fin corrigée si nuit]])-MAX(deb_dimJF,Horaires35673[[#This Row],[début]])),0)+IF(WEEKDAY(Horaires35673[[#This Row],[Date]],2)=6,MAX(0,Horaires35673[[#This Row],[Fin corrigée si nuit]]-(1+deb_dimJF)),0))*24</f>
        <v>0</v>
      </c>
      <c r="Q31" s="55">
        <f>(IF(WEEKDAY(Horaires35673[[#This Row],[Date]],2)=7,MAX(0,MIN(fin_dimJF,Horaires35673[[#This Row],[Fin corrigée si nuit]])-MAX(deb_dimJF,Horaires35673[[#This Row],[début]])),0)+IF(WEEKDAY(Horaires35673[[#This Row],[Date]],2)=6,MAX(0,Horaires35673[[#This Row],[Fin corrigée si nuit]]-(1+deb_dimJF)),0))*24-
(IF(WEEKDAY(Horaires35673[[#This Row],[Date]],2)=7,MAX(0,MIN(fin_dimJF,Horaires35673[[#This Row],[PNP Fin corrigée]])-MAX(deb_dimJF,Horaires35673[[#This Row],[PNP Début corrigé]])),0)+IF(WEEKDAY(Horaires35673[[#This Row],[Date]],2)=6,MAX(0,Horaires35673[[#This Row],[PNP Fin corrigée]]-(1+deb_dimJF)),0))*24</f>
        <v>0</v>
      </c>
      <c r="R31" s="55">
        <f>(IF(COUNTIF(JF,Horaires35673[[#This Row],[Date]]),MAX(0,MIN(fin_dimJF,Horaires35673[[#This Row],[Fin corrigée si nuit]])-MAX(deb_dimJF,Horaires35673[[#This Row],[début]])),0)+IF(COUNTIF(JF,Horaires35673[[#This Row],[Date]]+1),MAX(0,Horaires35673[[#This Row],[Fin corrigée si nuit]]-(1+deb_dimJF)),0))*24</f>
        <v>0</v>
      </c>
      <c r="S31" s="55">
        <f>(IF(COUNTIF(JF,Horaires35673[[#This Row],[Date]]),MAX(0,MIN(fin_dimJF,Horaires35673[[#This Row],[Fin corrigée si nuit]])-MAX(deb_dimJF,Horaires35673[[#This Row],[début]])),0)+IF(COUNTIF(JF,Horaires35673[[#This Row],[Date]]+1),MAX(0,Horaires35673[[#This Row],[Fin corrigée si nuit]]-(1+deb_dimJF)),0))*24-
(IF(COUNTIF(JF,Horaires35673[[#This Row],[Date]]),MAX(0,MIN(fin_dimJF,Horaires35673[[#This Row],[PNP Fin corrigée]])-MAX(deb_dimJF,Horaires35673[[#This Row],[PNP Début corrigé]])),0)+IF(COUNTIF(JF,Horaires35673[[#This Row],[Date]]+1),MAX(0,Horaires35673[[#This Row],[PNP Fin corrigée]]-(1+deb_dimJF)),0))*24</f>
        <v>0</v>
      </c>
    </row>
    <row r="32" spans="1:19" ht="14.5" customHeight="1" x14ac:dyDescent="0.35">
      <c r="A32" s="5"/>
      <c r="B32" s="1"/>
      <c r="C32" s="2"/>
      <c r="D32" s="2"/>
      <c r="E32" s="3"/>
      <c r="F32" s="3"/>
      <c r="G32" s="3"/>
      <c r="H32" s="3"/>
      <c r="I32" s="51">
        <f>0.1*(Horaires35673[[#This Row],[Heures de nuit]]+Horaires35673[[#This Row],[heures jour dimanche]]+Horaires35673[[#This Row],[heures jour fériés]])</f>
        <v>0</v>
      </c>
      <c r="J32" s="52">
        <f>(MOD(Horaires35673[[#This Row],[Fin]]-Horaires35673[[#This Row],[début]],1)-MOD(Horaires35673[[#This Row],[PNP Fin]]-Horaires35673[[#This Row],[PNP Début]],1))*24</f>
        <v>0</v>
      </c>
      <c r="K32" s="53">
        <f>IF(Horaires35673[[#This Row],[PNP Début]]=0,0,IF(Horaires35673[[#This Row],[PNP Début]]&lt;Horaires35673[[#This Row],[début]],1,0)+Horaires35673[[#This Row],[PNP Début]])</f>
        <v>0</v>
      </c>
      <c r="L32" s="54">
        <f>IF(Horaires35673[[#This Row],[PNP Fin]]=0,0,IF(Horaires35673[[#This Row],[PNP Fin]]&lt;Horaires35673[[#This Row],[début]],1,0)+Horaires35673[[#This Row],[PNP Fin]])</f>
        <v>0</v>
      </c>
      <c r="M32" s="54">
        <f>IF(Horaires35673[[#This Row],[Fin]]&lt;Horaires35673[[#This Row],[début]],1,0)+Horaires35673[[#This Row],[Fin]]</f>
        <v>0</v>
      </c>
      <c r="N32" s="35">
        <f>IF(Horaires35673[[#This Row],[Fin]]&lt;Horaires35673[[#This Row],[début]],MAX(0,MIN(Horaires35673[[#This Row],[Fin corrigée si nuit]],fin_nuit)-MAX(Horaires35673[[#This Row],[début]],deb_nuit))*24,(MAX(deb_nuit,Horaires35673[[#This Row],[Fin]])-MAX(deb_nuit,Horaires35673[[#This Row],[début]])+MAX(MIN(fin_nuit-1,Horaires35673[[#This Row],[Fin]])-MIN(fin_nuit-1,Horaires35673[[#This Row],[début]]),0))*24)</f>
        <v>0</v>
      </c>
      <c r="O32" s="55">
        <f>(MAX(0,MIN(Horaires35673[[#This Row],[Fin corrigée si nuit]],fin_nuit)-MAX(Horaires35673[[#This Row],[début]],deb_nuit))-IF(Horaires35673[[#This Row],[PNP Début]]=0,0,MIN(Horaires35673[[#This Row],[PNP Fin corrigée]],fin_nuit)-MAX(Horaires35673[[#This Row],[PNP Début corrigé]],deb_nuit)))*24</f>
        <v>0</v>
      </c>
      <c r="P32" s="55">
        <f>(IF(WEEKDAY(Horaires35673[[#This Row],[Date]],2)=7,MAX(0,MIN(fin_dimJF,Horaires35673[[#This Row],[Fin corrigée si nuit]])-MAX(deb_dimJF,Horaires35673[[#This Row],[début]])),0)+IF(WEEKDAY(Horaires35673[[#This Row],[Date]],2)=6,MAX(0,Horaires35673[[#This Row],[Fin corrigée si nuit]]-(1+deb_dimJF)),0))*24</f>
        <v>0</v>
      </c>
      <c r="Q32" s="55">
        <f>(IF(WEEKDAY(Horaires35673[[#This Row],[Date]],2)=7,MAX(0,MIN(fin_dimJF,Horaires35673[[#This Row],[Fin corrigée si nuit]])-MAX(deb_dimJF,Horaires35673[[#This Row],[début]])),0)+IF(WEEKDAY(Horaires35673[[#This Row],[Date]],2)=6,MAX(0,Horaires35673[[#This Row],[Fin corrigée si nuit]]-(1+deb_dimJF)),0))*24-
(IF(WEEKDAY(Horaires35673[[#This Row],[Date]],2)=7,MAX(0,MIN(fin_dimJF,Horaires35673[[#This Row],[PNP Fin corrigée]])-MAX(deb_dimJF,Horaires35673[[#This Row],[PNP Début corrigé]])),0)+IF(WEEKDAY(Horaires35673[[#This Row],[Date]],2)=6,MAX(0,Horaires35673[[#This Row],[PNP Fin corrigée]]-(1+deb_dimJF)),0))*24</f>
        <v>0</v>
      </c>
      <c r="R32" s="55">
        <f>(IF(COUNTIF(JF,Horaires35673[[#This Row],[Date]]),MAX(0,MIN(fin_dimJF,Horaires35673[[#This Row],[Fin corrigée si nuit]])-MAX(deb_dimJF,Horaires35673[[#This Row],[début]])),0)+IF(COUNTIF(JF,Horaires35673[[#This Row],[Date]]+1),MAX(0,Horaires35673[[#This Row],[Fin corrigée si nuit]]-(1+deb_dimJF)),0))*24</f>
        <v>0</v>
      </c>
      <c r="S32" s="55">
        <f>(IF(COUNTIF(JF,Horaires35673[[#This Row],[Date]]),MAX(0,MIN(fin_dimJF,Horaires35673[[#This Row],[Fin corrigée si nuit]])-MAX(deb_dimJF,Horaires35673[[#This Row],[début]])),0)+IF(COUNTIF(JF,Horaires35673[[#This Row],[Date]]+1),MAX(0,Horaires35673[[#This Row],[Fin corrigée si nuit]]-(1+deb_dimJF)),0))*24-
(IF(COUNTIF(JF,Horaires35673[[#This Row],[Date]]),MAX(0,MIN(fin_dimJF,Horaires35673[[#This Row],[PNP Fin corrigée]])-MAX(deb_dimJF,Horaires35673[[#This Row],[PNP Début corrigé]])),0)+IF(COUNTIF(JF,Horaires35673[[#This Row],[Date]]+1),MAX(0,Horaires35673[[#This Row],[PNP Fin corrigée]]-(1+deb_dimJF)),0))*24</f>
        <v>0</v>
      </c>
    </row>
    <row r="33" spans="1:19" x14ac:dyDescent="0.35">
      <c r="A33" s="5"/>
      <c r="B33" s="1"/>
      <c r="C33" s="2"/>
      <c r="D33" s="2"/>
      <c r="E33" s="3"/>
      <c r="F33" s="3"/>
      <c r="G33" s="3"/>
      <c r="H33" s="3"/>
      <c r="I33" s="51">
        <f>0.1*(Horaires35673[[#This Row],[Heures de nuit]]+Horaires35673[[#This Row],[heures jour dimanche]]+Horaires35673[[#This Row],[heures jour fériés]])</f>
        <v>0</v>
      </c>
      <c r="J33" s="52">
        <f>(MOD(Horaires35673[[#This Row],[Fin]]-Horaires35673[[#This Row],[début]],1)-MOD(Horaires35673[[#This Row],[PNP Fin]]-Horaires35673[[#This Row],[PNP Début]],1))*24</f>
        <v>0</v>
      </c>
      <c r="K33" s="53">
        <f>IF(Horaires35673[[#This Row],[PNP Début]]=0,0,IF(Horaires35673[[#This Row],[PNP Début]]&lt;Horaires35673[[#This Row],[début]],1,0)+Horaires35673[[#This Row],[PNP Début]])</f>
        <v>0</v>
      </c>
      <c r="L33" s="54">
        <f>IF(Horaires35673[[#This Row],[PNP Fin]]=0,0,IF(Horaires35673[[#This Row],[PNP Fin]]&lt;Horaires35673[[#This Row],[début]],1,0)+Horaires35673[[#This Row],[PNP Fin]])</f>
        <v>0</v>
      </c>
      <c r="M33" s="54">
        <f>IF(Horaires35673[[#This Row],[Fin]]&lt;Horaires35673[[#This Row],[début]],1,0)+Horaires35673[[#This Row],[Fin]]</f>
        <v>0</v>
      </c>
      <c r="N33" s="35">
        <f>IF(Horaires35673[[#This Row],[Fin]]&lt;Horaires35673[[#This Row],[début]],MAX(0,MIN(Horaires35673[[#This Row],[Fin corrigée si nuit]],fin_nuit)-MAX(Horaires35673[[#This Row],[début]],deb_nuit))*24,(MAX(deb_nuit,Horaires35673[[#This Row],[Fin]])-MAX(deb_nuit,Horaires35673[[#This Row],[début]])+MAX(MIN(fin_nuit-1,Horaires35673[[#This Row],[Fin]])-MIN(fin_nuit-1,Horaires35673[[#This Row],[début]]),0))*24)</f>
        <v>0</v>
      </c>
      <c r="O33" s="55">
        <f>(MAX(0,MIN(Horaires35673[[#This Row],[Fin corrigée si nuit]],fin_nuit)-MAX(Horaires35673[[#This Row],[début]],deb_nuit))-IF(Horaires35673[[#This Row],[PNP Début]]=0,0,MIN(Horaires35673[[#This Row],[PNP Fin corrigée]],fin_nuit)-MAX(Horaires35673[[#This Row],[PNP Début corrigé]],deb_nuit)))*24</f>
        <v>0</v>
      </c>
      <c r="P33" s="55">
        <f>(IF(WEEKDAY(Horaires35673[[#This Row],[Date]],2)=7,MAX(0,MIN(fin_dimJF,Horaires35673[[#This Row],[Fin corrigée si nuit]])-MAX(deb_dimJF,Horaires35673[[#This Row],[début]])),0)+IF(WEEKDAY(Horaires35673[[#This Row],[Date]],2)=6,MAX(0,Horaires35673[[#This Row],[Fin corrigée si nuit]]-(1+deb_dimJF)),0))*24</f>
        <v>0</v>
      </c>
      <c r="Q33" s="55">
        <f>(IF(WEEKDAY(Horaires35673[[#This Row],[Date]],2)=7,MAX(0,MIN(fin_dimJF,Horaires35673[[#This Row],[Fin corrigée si nuit]])-MAX(deb_dimJF,Horaires35673[[#This Row],[début]])),0)+IF(WEEKDAY(Horaires35673[[#This Row],[Date]],2)=6,MAX(0,Horaires35673[[#This Row],[Fin corrigée si nuit]]-(1+deb_dimJF)),0))*24-
(IF(WEEKDAY(Horaires35673[[#This Row],[Date]],2)=7,MAX(0,MIN(fin_dimJF,Horaires35673[[#This Row],[PNP Fin corrigée]])-MAX(deb_dimJF,Horaires35673[[#This Row],[PNP Début corrigé]])),0)+IF(WEEKDAY(Horaires35673[[#This Row],[Date]],2)=6,MAX(0,Horaires35673[[#This Row],[PNP Fin corrigée]]-(1+deb_dimJF)),0))*24</f>
        <v>0</v>
      </c>
      <c r="R33" s="55">
        <f>(IF(COUNTIF(JF,Horaires35673[[#This Row],[Date]]),MAX(0,MIN(fin_dimJF,Horaires35673[[#This Row],[Fin corrigée si nuit]])-MAX(deb_dimJF,Horaires35673[[#This Row],[début]])),0)+IF(COUNTIF(JF,Horaires35673[[#This Row],[Date]]+1),MAX(0,Horaires35673[[#This Row],[Fin corrigée si nuit]]-(1+deb_dimJF)),0))*24</f>
        <v>0</v>
      </c>
      <c r="S33" s="55">
        <f>(IF(COUNTIF(JF,Horaires35673[[#This Row],[Date]]),MAX(0,MIN(fin_dimJF,Horaires35673[[#This Row],[Fin corrigée si nuit]])-MAX(deb_dimJF,Horaires35673[[#This Row],[début]])),0)+IF(COUNTIF(JF,Horaires35673[[#This Row],[Date]]+1),MAX(0,Horaires35673[[#This Row],[Fin corrigée si nuit]]-(1+deb_dimJF)),0))*24-
(IF(COUNTIF(JF,Horaires35673[[#This Row],[Date]]),MAX(0,MIN(fin_dimJF,Horaires35673[[#This Row],[PNP Fin corrigée]])-MAX(deb_dimJF,Horaires35673[[#This Row],[PNP Début corrigé]])),0)+IF(COUNTIF(JF,Horaires35673[[#This Row],[Date]]+1),MAX(0,Horaires35673[[#This Row],[PNP Fin corrigée]]-(1+deb_dimJF)),0))*24</f>
        <v>0</v>
      </c>
    </row>
    <row r="34" spans="1:19" x14ac:dyDescent="0.35">
      <c r="A34" s="5"/>
      <c r="B34" s="1"/>
      <c r="C34" s="2"/>
      <c r="D34" s="2"/>
      <c r="E34" s="3"/>
      <c r="F34" s="3"/>
      <c r="G34" s="3"/>
      <c r="H34" s="3"/>
      <c r="I34" s="51">
        <f>0.1*(Horaires35673[[#This Row],[Heures de nuit]]+Horaires35673[[#This Row],[heures jour dimanche]]+Horaires35673[[#This Row],[heures jour fériés]])</f>
        <v>0</v>
      </c>
      <c r="J34" s="52">
        <f>(MOD(Horaires35673[[#This Row],[Fin]]-Horaires35673[[#This Row],[début]],1)-MOD(Horaires35673[[#This Row],[PNP Fin]]-Horaires35673[[#This Row],[PNP Début]],1))*24</f>
        <v>0</v>
      </c>
      <c r="K34" s="53">
        <f>IF(Horaires35673[[#This Row],[PNP Début]]=0,0,IF(Horaires35673[[#This Row],[PNP Début]]&lt;Horaires35673[[#This Row],[début]],1,0)+Horaires35673[[#This Row],[PNP Début]])</f>
        <v>0</v>
      </c>
      <c r="L34" s="54">
        <f>IF(Horaires35673[[#This Row],[PNP Fin]]=0,0,IF(Horaires35673[[#This Row],[PNP Fin]]&lt;Horaires35673[[#This Row],[début]],1,0)+Horaires35673[[#This Row],[PNP Fin]])</f>
        <v>0</v>
      </c>
      <c r="M34" s="54">
        <f>IF(Horaires35673[[#This Row],[Fin]]&lt;Horaires35673[[#This Row],[début]],1,0)+Horaires35673[[#This Row],[Fin]]</f>
        <v>0</v>
      </c>
      <c r="N34" s="35">
        <f>IF(Horaires35673[[#This Row],[Fin]]&lt;Horaires35673[[#This Row],[début]],MAX(0,MIN(Horaires35673[[#This Row],[Fin corrigée si nuit]],fin_nuit)-MAX(Horaires35673[[#This Row],[début]],deb_nuit))*24,(MAX(deb_nuit,Horaires35673[[#This Row],[Fin]])-MAX(deb_nuit,Horaires35673[[#This Row],[début]])+MAX(MIN(fin_nuit-1,Horaires35673[[#This Row],[Fin]])-MIN(fin_nuit-1,Horaires35673[[#This Row],[début]]),0))*24)</f>
        <v>0</v>
      </c>
      <c r="O34" s="55">
        <f>(MAX(0,MIN(Horaires35673[[#This Row],[Fin corrigée si nuit]],fin_nuit)-MAX(Horaires35673[[#This Row],[début]],deb_nuit))-IF(Horaires35673[[#This Row],[PNP Début]]=0,0,MIN(Horaires35673[[#This Row],[PNP Fin corrigée]],fin_nuit)-MAX(Horaires35673[[#This Row],[PNP Début corrigé]],deb_nuit)))*24</f>
        <v>0</v>
      </c>
      <c r="P34" s="55">
        <f>(IF(WEEKDAY(Horaires35673[[#This Row],[Date]],2)=7,MAX(0,MIN(fin_dimJF,Horaires35673[[#This Row],[Fin corrigée si nuit]])-MAX(deb_dimJF,Horaires35673[[#This Row],[début]])),0)+IF(WEEKDAY(Horaires35673[[#This Row],[Date]],2)=6,MAX(0,Horaires35673[[#This Row],[Fin corrigée si nuit]]-(1+deb_dimJF)),0))*24</f>
        <v>0</v>
      </c>
      <c r="Q34" s="55">
        <f>(IF(WEEKDAY(Horaires35673[[#This Row],[Date]],2)=7,MAX(0,MIN(fin_dimJF,Horaires35673[[#This Row],[Fin corrigée si nuit]])-MAX(deb_dimJF,Horaires35673[[#This Row],[début]])),0)+IF(WEEKDAY(Horaires35673[[#This Row],[Date]],2)=6,MAX(0,Horaires35673[[#This Row],[Fin corrigée si nuit]]-(1+deb_dimJF)),0))*24-
(IF(WEEKDAY(Horaires35673[[#This Row],[Date]],2)=7,MAX(0,MIN(fin_dimJF,Horaires35673[[#This Row],[PNP Fin corrigée]])-MAX(deb_dimJF,Horaires35673[[#This Row],[PNP Début corrigé]])),0)+IF(WEEKDAY(Horaires35673[[#This Row],[Date]],2)=6,MAX(0,Horaires35673[[#This Row],[PNP Fin corrigée]]-(1+deb_dimJF)),0))*24</f>
        <v>0</v>
      </c>
      <c r="R34" s="55">
        <f>(IF(COUNTIF(JF,Horaires35673[[#This Row],[Date]]),MAX(0,MIN(fin_dimJF,Horaires35673[[#This Row],[Fin corrigée si nuit]])-MAX(deb_dimJF,Horaires35673[[#This Row],[début]])),0)+IF(COUNTIF(JF,Horaires35673[[#This Row],[Date]]+1),MAX(0,Horaires35673[[#This Row],[Fin corrigée si nuit]]-(1+deb_dimJF)),0))*24</f>
        <v>0</v>
      </c>
      <c r="S34" s="55">
        <f>(IF(COUNTIF(JF,Horaires35673[[#This Row],[Date]]),MAX(0,MIN(fin_dimJF,Horaires35673[[#This Row],[Fin corrigée si nuit]])-MAX(deb_dimJF,Horaires35673[[#This Row],[début]])),0)+IF(COUNTIF(JF,Horaires35673[[#This Row],[Date]]+1),MAX(0,Horaires35673[[#This Row],[Fin corrigée si nuit]]-(1+deb_dimJF)),0))*24-
(IF(COUNTIF(JF,Horaires35673[[#This Row],[Date]]),MAX(0,MIN(fin_dimJF,Horaires35673[[#This Row],[PNP Fin corrigée]])-MAX(deb_dimJF,Horaires35673[[#This Row],[PNP Début corrigé]])),0)+IF(COUNTIF(JF,Horaires35673[[#This Row],[Date]]+1),MAX(0,Horaires35673[[#This Row],[PNP Fin corrigée]]-(1+deb_dimJF)),0))*24</f>
        <v>0</v>
      </c>
    </row>
    <row r="35" spans="1:19" x14ac:dyDescent="0.35">
      <c r="A35" s="5"/>
      <c r="B35" s="1"/>
      <c r="C35" s="2"/>
      <c r="D35" s="2"/>
      <c r="E35" s="3"/>
      <c r="F35" s="3"/>
      <c r="G35" s="3"/>
      <c r="H35" s="3"/>
      <c r="I35" s="51">
        <f>0.1*(Horaires35673[[#This Row],[Heures de nuit]]+Horaires35673[[#This Row],[heures jour dimanche]]+Horaires35673[[#This Row],[heures jour fériés]])</f>
        <v>0</v>
      </c>
      <c r="J35" s="52">
        <f>(MOD(Horaires35673[[#This Row],[Fin]]-Horaires35673[[#This Row],[début]],1)-MOD(Horaires35673[[#This Row],[PNP Fin]]-Horaires35673[[#This Row],[PNP Début]],1))*24</f>
        <v>0</v>
      </c>
      <c r="K35" s="53">
        <f>IF(Horaires35673[[#This Row],[PNP Début]]=0,0,IF(Horaires35673[[#This Row],[PNP Début]]&lt;Horaires35673[[#This Row],[début]],1,0)+Horaires35673[[#This Row],[PNP Début]])</f>
        <v>0</v>
      </c>
      <c r="L35" s="54">
        <f>IF(Horaires35673[[#This Row],[PNP Fin]]=0,0,IF(Horaires35673[[#This Row],[PNP Fin]]&lt;Horaires35673[[#This Row],[début]],1,0)+Horaires35673[[#This Row],[PNP Fin]])</f>
        <v>0</v>
      </c>
      <c r="M35" s="54">
        <f>IF(Horaires35673[[#This Row],[Fin]]&lt;Horaires35673[[#This Row],[début]],1,0)+Horaires35673[[#This Row],[Fin]]</f>
        <v>0</v>
      </c>
      <c r="N35" s="35">
        <f>IF(Horaires35673[[#This Row],[Fin]]&lt;Horaires35673[[#This Row],[début]],MAX(0,MIN(Horaires35673[[#This Row],[Fin corrigée si nuit]],fin_nuit)-MAX(Horaires35673[[#This Row],[début]],deb_nuit))*24,(MAX(deb_nuit,Horaires35673[[#This Row],[Fin]])-MAX(deb_nuit,Horaires35673[[#This Row],[début]])+MAX(MIN(fin_nuit-1,Horaires35673[[#This Row],[Fin]])-MIN(fin_nuit-1,Horaires35673[[#This Row],[début]]),0))*24)</f>
        <v>0</v>
      </c>
      <c r="O35" s="55">
        <f>(MAX(0,MIN(Horaires35673[[#This Row],[Fin corrigée si nuit]],fin_nuit)-MAX(Horaires35673[[#This Row],[début]],deb_nuit))-IF(Horaires35673[[#This Row],[PNP Début]]=0,0,MIN(Horaires35673[[#This Row],[PNP Fin corrigée]],fin_nuit)-MAX(Horaires35673[[#This Row],[PNP Début corrigé]],deb_nuit)))*24</f>
        <v>0</v>
      </c>
      <c r="P35" s="55">
        <f>(IF(WEEKDAY(Horaires35673[[#This Row],[Date]],2)=7,MAX(0,MIN(fin_dimJF,Horaires35673[[#This Row],[Fin corrigée si nuit]])-MAX(deb_dimJF,Horaires35673[[#This Row],[début]])),0)+IF(WEEKDAY(Horaires35673[[#This Row],[Date]],2)=6,MAX(0,Horaires35673[[#This Row],[Fin corrigée si nuit]]-(1+deb_dimJF)),0))*24</f>
        <v>0</v>
      </c>
      <c r="Q35" s="55">
        <f>(IF(WEEKDAY(Horaires35673[[#This Row],[Date]],2)=7,MAX(0,MIN(fin_dimJF,Horaires35673[[#This Row],[Fin corrigée si nuit]])-MAX(deb_dimJF,Horaires35673[[#This Row],[début]])),0)+IF(WEEKDAY(Horaires35673[[#This Row],[Date]],2)=6,MAX(0,Horaires35673[[#This Row],[Fin corrigée si nuit]]-(1+deb_dimJF)),0))*24-
(IF(WEEKDAY(Horaires35673[[#This Row],[Date]],2)=7,MAX(0,MIN(fin_dimJF,Horaires35673[[#This Row],[PNP Fin corrigée]])-MAX(deb_dimJF,Horaires35673[[#This Row],[PNP Début corrigé]])),0)+IF(WEEKDAY(Horaires35673[[#This Row],[Date]],2)=6,MAX(0,Horaires35673[[#This Row],[PNP Fin corrigée]]-(1+deb_dimJF)),0))*24</f>
        <v>0</v>
      </c>
      <c r="R35" s="55">
        <f>(IF(COUNTIF(JF,Horaires35673[[#This Row],[Date]]),MAX(0,MIN(fin_dimJF,Horaires35673[[#This Row],[Fin corrigée si nuit]])-MAX(deb_dimJF,Horaires35673[[#This Row],[début]])),0)+IF(COUNTIF(JF,Horaires35673[[#This Row],[Date]]+1),MAX(0,Horaires35673[[#This Row],[Fin corrigée si nuit]]-(1+deb_dimJF)),0))*24</f>
        <v>0</v>
      </c>
      <c r="S35" s="55">
        <f>(IF(COUNTIF(JF,Horaires35673[[#This Row],[Date]]),MAX(0,MIN(fin_dimJF,Horaires35673[[#This Row],[Fin corrigée si nuit]])-MAX(deb_dimJF,Horaires35673[[#This Row],[début]])),0)+IF(COUNTIF(JF,Horaires35673[[#This Row],[Date]]+1),MAX(0,Horaires35673[[#This Row],[Fin corrigée si nuit]]-(1+deb_dimJF)),0))*24-
(IF(COUNTIF(JF,Horaires35673[[#This Row],[Date]]),MAX(0,MIN(fin_dimJF,Horaires35673[[#This Row],[PNP Fin corrigée]])-MAX(deb_dimJF,Horaires35673[[#This Row],[PNP Début corrigé]])),0)+IF(COUNTIF(JF,Horaires35673[[#This Row],[Date]]+1),MAX(0,Horaires35673[[#This Row],[PNP Fin corrigée]]-(1+deb_dimJF)),0))*24</f>
        <v>0</v>
      </c>
    </row>
    <row r="36" spans="1:19" x14ac:dyDescent="0.35">
      <c r="A36" s="5"/>
      <c r="B36" s="1"/>
      <c r="C36" s="2"/>
      <c r="D36" s="2"/>
      <c r="E36" s="3"/>
      <c r="F36" s="3"/>
      <c r="G36" s="3"/>
      <c r="H36" s="3"/>
      <c r="I36" s="51">
        <f>0.1*(Horaires35673[[#This Row],[Heures de nuit]]+Horaires35673[[#This Row],[heures jour dimanche]]+Horaires35673[[#This Row],[heures jour fériés]])</f>
        <v>0</v>
      </c>
      <c r="J36" s="52">
        <f>(MOD(Horaires35673[[#This Row],[Fin]]-Horaires35673[[#This Row],[début]],1)-MOD(Horaires35673[[#This Row],[PNP Fin]]-Horaires35673[[#This Row],[PNP Début]],1))*24</f>
        <v>0</v>
      </c>
      <c r="K36" s="53">
        <f>IF(Horaires35673[[#This Row],[PNP Début]]=0,0,IF(Horaires35673[[#This Row],[PNP Début]]&lt;Horaires35673[[#This Row],[début]],1,0)+Horaires35673[[#This Row],[PNP Début]])</f>
        <v>0</v>
      </c>
      <c r="L36" s="54">
        <f>IF(Horaires35673[[#This Row],[PNP Fin]]=0,0,IF(Horaires35673[[#This Row],[PNP Fin]]&lt;Horaires35673[[#This Row],[début]],1,0)+Horaires35673[[#This Row],[PNP Fin]])</f>
        <v>0</v>
      </c>
      <c r="M36" s="54">
        <f>IF(Horaires35673[[#This Row],[Fin]]&lt;Horaires35673[[#This Row],[début]],1,0)+Horaires35673[[#This Row],[Fin]]</f>
        <v>0</v>
      </c>
      <c r="N36" s="35">
        <f>IF(Horaires35673[[#This Row],[Fin]]&lt;Horaires35673[[#This Row],[début]],MAX(0,MIN(Horaires35673[[#This Row],[Fin corrigée si nuit]],fin_nuit)-MAX(Horaires35673[[#This Row],[début]],deb_nuit))*24,(MAX(deb_nuit,Horaires35673[[#This Row],[Fin]])-MAX(deb_nuit,Horaires35673[[#This Row],[début]])+MAX(MIN(fin_nuit-1,Horaires35673[[#This Row],[Fin]])-MIN(fin_nuit-1,Horaires35673[[#This Row],[début]]),0))*24)</f>
        <v>0</v>
      </c>
      <c r="O36" s="55">
        <f>(MAX(0,MIN(Horaires35673[[#This Row],[Fin corrigée si nuit]],fin_nuit)-MAX(Horaires35673[[#This Row],[début]],deb_nuit))-IF(Horaires35673[[#This Row],[PNP Début]]=0,0,MIN(Horaires35673[[#This Row],[PNP Fin corrigée]],fin_nuit)-MAX(Horaires35673[[#This Row],[PNP Début corrigé]],deb_nuit)))*24</f>
        <v>0</v>
      </c>
      <c r="P36" s="55">
        <f>(IF(WEEKDAY(Horaires35673[[#This Row],[Date]],2)=7,MAX(0,MIN(fin_dimJF,Horaires35673[[#This Row],[Fin corrigée si nuit]])-MAX(deb_dimJF,Horaires35673[[#This Row],[début]])),0)+IF(WEEKDAY(Horaires35673[[#This Row],[Date]],2)=6,MAX(0,Horaires35673[[#This Row],[Fin corrigée si nuit]]-(1+deb_dimJF)),0))*24</f>
        <v>0</v>
      </c>
      <c r="Q36" s="55">
        <f>(IF(WEEKDAY(Horaires35673[[#This Row],[Date]],2)=7,MAX(0,MIN(fin_dimJF,Horaires35673[[#This Row],[Fin corrigée si nuit]])-MAX(deb_dimJF,Horaires35673[[#This Row],[début]])),0)+IF(WEEKDAY(Horaires35673[[#This Row],[Date]],2)=6,MAX(0,Horaires35673[[#This Row],[Fin corrigée si nuit]]-(1+deb_dimJF)),0))*24-
(IF(WEEKDAY(Horaires35673[[#This Row],[Date]],2)=7,MAX(0,MIN(fin_dimJF,Horaires35673[[#This Row],[PNP Fin corrigée]])-MAX(deb_dimJF,Horaires35673[[#This Row],[PNP Début corrigé]])),0)+IF(WEEKDAY(Horaires35673[[#This Row],[Date]],2)=6,MAX(0,Horaires35673[[#This Row],[PNP Fin corrigée]]-(1+deb_dimJF)),0))*24</f>
        <v>0</v>
      </c>
      <c r="R36" s="55">
        <f>(IF(COUNTIF(JF,Horaires35673[[#This Row],[Date]]),MAX(0,MIN(fin_dimJF,Horaires35673[[#This Row],[Fin corrigée si nuit]])-MAX(deb_dimJF,Horaires35673[[#This Row],[début]])),0)+IF(COUNTIF(JF,Horaires35673[[#This Row],[Date]]+1),MAX(0,Horaires35673[[#This Row],[Fin corrigée si nuit]]-(1+deb_dimJF)),0))*24</f>
        <v>0</v>
      </c>
      <c r="S36" s="55">
        <f>(IF(COUNTIF(JF,Horaires35673[[#This Row],[Date]]),MAX(0,MIN(fin_dimJF,Horaires35673[[#This Row],[Fin corrigée si nuit]])-MAX(deb_dimJF,Horaires35673[[#This Row],[début]])),0)+IF(COUNTIF(JF,Horaires35673[[#This Row],[Date]]+1),MAX(0,Horaires35673[[#This Row],[Fin corrigée si nuit]]-(1+deb_dimJF)),0))*24-
(IF(COUNTIF(JF,Horaires35673[[#This Row],[Date]]),MAX(0,MIN(fin_dimJF,Horaires35673[[#This Row],[PNP Fin corrigée]])-MAX(deb_dimJF,Horaires35673[[#This Row],[PNP Début corrigé]])),0)+IF(COUNTIF(JF,Horaires35673[[#This Row],[Date]]+1),MAX(0,Horaires35673[[#This Row],[PNP Fin corrigée]]-(1+deb_dimJF)),0))*24</f>
        <v>0</v>
      </c>
    </row>
    <row r="37" spans="1:19" x14ac:dyDescent="0.35">
      <c r="A37" s="5"/>
      <c r="B37" s="1"/>
      <c r="C37" s="2"/>
      <c r="D37" s="2"/>
      <c r="E37" s="3"/>
      <c r="F37" s="3"/>
      <c r="G37" s="3"/>
      <c r="H37" s="3"/>
      <c r="I37" s="51">
        <f>0.1*(Horaires35673[[#This Row],[Heures de nuit]]+Horaires35673[[#This Row],[heures jour dimanche]]+Horaires35673[[#This Row],[heures jour fériés]])</f>
        <v>0</v>
      </c>
      <c r="J37" s="52">
        <f>(MOD(Horaires35673[[#This Row],[Fin]]-Horaires35673[[#This Row],[début]],1)-MOD(Horaires35673[[#This Row],[PNP Fin]]-Horaires35673[[#This Row],[PNP Début]],1))*24</f>
        <v>0</v>
      </c>
      <c r="K37" s="53">
        <f>IF(Horaires35673[[#This Row],[PNP Début]]=0,0,IF(Horaires35673[[#This Row],[PNP Début]]&lt;Horaires35673[[#This Row],[début]],1,0)+Horaires35673[[#This Row],[PNP Début]])</f>
        <v>0</v>
      </c>
      <c r="L37" s="54">
        <f>IF(Horaires35673[[#This Row],[PNP Fin]]=0,0,IF(Horaires35673[[#This Row],[PNP Fin]]&lt;Horaires35673[[#This Row],[début]],1,0)+Horaires35673[[#This Row],[PNP Fin]])</f>
        <v>0</v>
      </c>
      <c r="M37" s="54">
        <f>IF(Horaires35673[[#This Row],[Fin]]&lt;Horaires35673[[#This Row],[début]],1,0)+Horaires35673[[#This Row],[Fin]]</f>
        <v>0</v>
      </c>
      <c r="N37" s="35">
        <f>IF(Horaires35673[[#This Row],[Fin]]&lt;Horaires35673[[#This Row],[début]],MAX(0,MIN(Horaires35673[[#This Row],[Fin corrigée si nuit]],fin_nuit)-MAX(Horaires35673[[#This Row],[début]],deb_nuit))*24,(MAX(deb_nuit,Horaires35673[[#This Row],[Fin]])-MAX(deb_nuit,Horaires35673[[#This Row],[début]])+MAX(MIN(fin_nuit-1,Horaires35673[[#This Row],[Fin]])-MIN(fin_nuit-1,Horaires35673[[#This Row],[début]]),0))*24)</f>
        <v>0</v>
      </c>
      <c r="O37" s="55">
        <f>(MAX(0,MIN(Horaires35673[[#This Row],[Fin corrigée si nuit]],fin_nuit)-MAX(Horaires35673[[#This Row],[début]],deb_nuit))-IF(Horaires35673[[#This Row],[PNP Début]]=0,0,MIN(Horaires35673[[#This Row],[PNP Fin corrigée]],fin_nuit)-MAX(Horaires35673[[#This Row],[PNP Début corrigé]],deb_nuit)))*24</f>
        <v>0</v>
      </c>
      <c r="P37" s="55">
        <f>(IF(WEEKDAY(Horaires35673[[#This Row],[Date]],2)=7,MAX(0,MIN(fin_dimJF,Horaires35673[[#This Row],[Fin corrigée si nuit]])-MAX(deb_dimJF,Horaires35673[[#This Row],[début]])),0)+IF(WEEKDAY(Horaires35673[[#This Row],[Date]],2)=6,MAX(0,Horaires35673[[#This Row],[Fin corrigée si nuit]]-(1+deb_dimJF)),0))*24</f>
        <v>0</v>
      </c>
      <c r="Q37" s="55">
        <f>(IF(WEEKDAY(Horaires35673[[#This Row],[Date]],2)=7,MAX(0,MIN(fin_dimJF,Horaires35673[[#This Row],[Fin corrigée si nuit]])-MAX(deb_dimJF,Horaires35673[[#This Row],[début]])),0)+IF(WEEKDAY(Horaires35673[[#This Row],[Date]],2)=6,MAX(0,Horaires35673[[#This Row],[Fin corrigée si nuit]]-(1+deb_dimJF)),0))*24-
(IF(WEEKDAY(Horaires35673[[#This Row],[Date]],2)=7,MAX(0,MIN(fin_dimJF,Horaires35673[[#This Row],[PNP Fin corrigée]])-MAX(deb_dimJF,Horaires35673[[#This Row],[PNP Début corrigé]])),0)+IF(WEEKDAY(Horaires35673[[#This Row],[Date]],2)=6,MAX(0,Horaires35673[[#This Row],[PNP Fin corrigée]]-(1+deb_dimJF)),0))*24</f>
        <v>0</v>
      </c>
      <c r="R37" s="55">
        <f>(IF(COUNTIF(JF,Horaires35673[[#This Row],[Date]]),MAX(0,MIN(fin_dimJF,Horaires35673[[#This Row],[Fin corrigée si nuit]])-MAX(deb_dimJF,Horaires35673[[#This Row],[début]])),0)+IF(COUNTIF(JF,Horaires35673[[#This Row],[Date]]+1),MAX(0,Horaires35673[[#This Row],[Fin corrigée si nuit]]-(1+deb_dimJF)),0))*24</f>
        <v>0</v>
      </c>
      <c r="S37" s="55">
        <f>(IF(COUNTIF(JF,Horaires35673[[#This Row],[Date]]),MAX(0,MIN(fin_dimJF,Horaires35673[[#This Row],[Fin corrigée si nuit]])-MAX(deb_dimJF,Horaires35673[[#This Row],[début]])),0)+IF(COUNTIF(JF,Horaires35673[[#This Row],[Date]]+1),MAX(0,Horaires35673[[#This Row],[Fin corrigée si nuit]]-(1+deb_dimJF)),0))*24-
(IF(COUNTIF(JF,Horaires35673[[#This Row],[Date]]),MAX(0,MIN(fin_dimJF,Horaires35673[[#This Row],[PNP Fin corrigée]])-MAX(deb_dimJF,Horaires35673[[#This Row],[PNP Début corrigé]])),0)+IF(COUNTIF(JF,Horaires35673[[#This Row],[Date]]+1),MAX(0,Horaires35673[[#This Row],[PNP Fin corrigée]]-(1+deb_dimJF)),0))*24</f>
        <v>0</v>
      </c>
    </row>
    <row r="38" spans="1:19" x14ac:dyDescent="0.35">
      <c r="A38" s="5"/>
      <c r="B38" s="1"/>
      <c r="C38" s="2"/>
      <c r="D38" s="2"/>
      <c r="E38" s="3"/>
      <c r="F38" s="3"/>
      <c r="G38" s="3"/>
      <c r="H38" s="3"/>
      <c r="I38" s="51">
        <f>0.1*(Horaires35673[[#This Row],[Heures de nuit]]+Horaires35673[[#This Row],[heures jour dimanche]]+Horaires35673[[#This Row],[heures jour fériés]])</f>
        <v>0</v>
      </c>
      <c r="J38" s="52">
        <f>(MOD(Horaires35673[[#This Row],[Fin]]-Horaires35673[[#This Row],[début]],1)-MOD(Horaires35673[[#This Row],[PNP Fin]]-Horaires35673[[#This Row],[PNP Début]],1))*24</f>
        <v>0</v>
      </c>
      <c r="K38" s="53">
        <f>IF(Horaires35673[[#This Row],[PNP Début]]=0,0,IF(Horaires35673[[#This Row],[PNP Début]]&lt;Horaires35673[[#This Row],[début]],1,0)+Horaires35673[[#This Row],[PNP Début]])</f>
        <v>0</v>
      </c>
      <c r="L38" s="54">
        <f>IF(Horaires35673[[#This Row],[PNP Fin]]=0,0,IF(Horaires35673[[#This Row],[PNP Fin]]&lt;Horaires35673[[#This Row],[début]],1,0)+Horaires35673[[#This Row],[PNP Fin]])</f>
        <v>0</v>
      </c>
      <c r="M38" s="54">
        <f>IF(Horaires35673[[#This Row],[Fin]]&lt;Horaires35673[[#This Row],[début]],1,0)+Horaires35673[[#This Row],[Fin]]</f>
        <v>0</v>
      </c>
      <c r="N38" s="35">
        <f>IF(Horaires35673[[#This Row],[Fin]]&lt;Horaires35673[[#This Row],[début]],MAX(0,MIN(Horaires35673[[#This Row],[Fin corrigée si nuit]],fin_nuit)-MAX(Horaires35673[[#This Row],[début]],deb_nuit))*24,(MAX(deb_nuit,Horaires35673[[#This Row],[Fin]])-MAX(deb_nuit,Horaires35673[[#This Row],[début]])+MAX(MIN(fin_nuit-1,Horaires35673[[#This Row],[Fin]])-MIN(fin_nuit-1,Horaires35673[[#This Row],[début]]),0))*24)</f>
        <v>0</v>
      </c>
      <c r="O38" s="55">
        <f>(MAX(0,MIN(Horaires35673[[#This Row],[Fin corrigée si nuit]],fin_nuit)-MAX(Horaires35673[[#This Row],[début]],deb_nuit))-IF(Horaires35673[[#This Row],[PNP Début]]=0,0,MIN(Horaires35673[[#This Row],[PNP Fin corrigée]],fin_nuit)-MAX(Horaires35673[[#This Row],[PNP Début corrigé]],deb_nuit)))*24</f>
        <v>0</v>
      </c>
      <c r="P38" s="55">
        <f>(IF(WEEKDAY(Horaires35673[[#This Row],[Date]],2)=7,MAX(0,MIN(fin_dimJF,Horaires35673[[#This Row],[Fin corrigée si nuit]])-MAX(deb_dimJF,Horaires35673[[#This Row],[début]])),0)+IF(WEEKDAY(Horaires35673[[#This Row],[Date]],2)=6,MAX(0,Horaires35673[[#This Row],[Fin corrigée si nuit]]-(1+deb_dimJF)),0))*24</f>
        <v>0</v>
      </c>
      <c r="Q38" s="55">
        <f>(IF(WEEKDAY(Horaires35673[[#This Row],[Date]],2)=7,MAX(0,MIN(fin_dimJF,Horaires35673[[#This Row],[Fin corrigée si nuit]])-MAX(deb_dimJF,Horaires35673[[#This Row],[début]])),0)+IF(WEEKDAY(Horaires35673[[#This Row],[Date]],2)=6,MAX(0,Horaires35673[[#This Row],[Fin corrigée si nuit]]-(1+deb_dimJF)),0))*24-
(IF(WEEKDAY(Horaires35673[[#This Row],[Date]],2)=7,MAX(0,MIN(fin_dimJF,Horaires35673[[#This Row],[PNP Fin corrigée]])-MAX(deb_dimJF,Horaires35673[[#This Row],[PNP Début corrigé]])),0)+IF(WEEKDAY(Horaires35673[[#This Row],[Date]],2)=6,MAX(0,Horaires35673[[#This Row],[PNP Fin corrigée]]-(1+deb_dimJF)),0))*24</f>
        <v>0</v>
      </c>
      <c r="R38" s="55">
        <f>(IF(COUNTIF(JF,Horaires35673[[#This Row],[Date]]),MAX(0,MIN(fin_dimJF,Horaires35673[[#This Row],[Fin corrigée si nuit]])-MAX(deb_dimJF,Horaires35673[[#This Row],[début]])),0)+IF(COUNTIF(JF,Horaires35673[[#This Row],[Date]]+1),MAX(0,Horaires35673[[#This Row],[Fin corrigée si nuit]]-(1+deb_dimJF)),0))*24</f>
        <v>0</v>
      </c>
      <c r="S38" s="55">
        <f>(IF(COUNTIF(JF,Horaires35673[[#This Row],[Date]]),MAX(0,MIN(fin_dimJF,Horaires35673[[#This Row],[Fin corrigée si nuit]])-MAX(deb_dimJF,Horaires35673[[#This Row],[début]])),0)+IF(COUNTIF(JF,Horaires35673[[#This Row],[Date]]+1),MAX(0,Horaires35673[[#This Row],[Fin corrigée si nuit]]-(1+deb_dimJF)),0))*24-
(IF(COUNTIF(JF,Horaires35673[[#This Row],[Date]]),MAX(0,MIN(fin_dimJF,Horaires35673[[#This Row],[PNP Fin corrigée]])-MAX(deb_dimJF,Horaires35673[[#This Row],[PNP Début corrigé]])),0)+IF(COUNTIF(JF,Horaires35673[[#This Row],[Date]]+1),MAX(0,Horaires35673[[#This Row],[PNP Fin corrigée]]-(1+deb_dimJF)),0))*24</f>
        <v>0</v>
      </c>
    </row>
    <row r="39" spans="1:19" x14ac:dyDescent="0.35">
      <c r="A39" s="5"/>
      <c r="B39" s="1"/>
      <c r="C39" s="2"/>
      <c r="D39" s="2"/>
      <c r="E39" s="3"/>
      <c r="F39" s="3"/>
      <c r="G39" s="3"/>
      <c r="H39" s="3"/>
      <c r="I39" s="51">
        <f>0.1*(Horaires35673[[#This Row],[Heures de nuit]]+Horaires35673[[#This Row],[heures jour dimanche]]+Horaires35673[[#This Row],[heures jour fériés]])</f>
        <v>0</v>
      </c>
      <c r="J39" s="52">
        <f>(MOD(Horaires35673[[#This Row],[Fin]]-Horaires35673[[#This Row],[début]],1)-MOD(Horaires35673[[#This Row],[PNP Fin]]-Horaires35673[[#This Row],[PNP Début]],1))*24</f>
        <v>0</v>
      </c>
      <c r="K39" s="53">
        <f>IF(Horaires35673[[#This Row],[PNP Début]]=0,0,IF(Horaires35673[[#This Row],[PNP Début]]&lt;Horaires35673[[#This Row],[début]],1,0)+Horaires35673[[#This Row],[PNP Début]])</f>
        <v>0</v>
      </c>
      <c r="L39" s="54">
        <f>IF(Horaires35673[[#This Row],[PNP Fin]]=0,0,IF(Horaires35673[[#This Row],[PNP Fin]]&lt;Horaires35673[[#This Row],[début]],1,0)+Horaires35673[[#This Row],[PNP Fin]])</f>
        <v>0</v>
      </c>
      <c r="M39" s="54">
        <f>IF(Horaires35673[[#This Row],[Fin]]&lt;Horaires35673[[#This Row],[début]],1,0)+Horaires35673[[#This Row],[Fin]]</f>
        <v>0</v>
      </c>
      <c r="N39" s="35">
        <f>IF(Horaires35673[[#This Row],[Fin]]&lt;Horaires35673[[#This Row],[début]],MAX(0,MIN(Horaires35673[[#This Row],[Fin corrigée si nuit]],fin_nuit)-MAX(Horaires35673[[#This Row],[début]],deb_nuit))*24,(MAX(deb_nuit,Horaires35673[[#This Row],[Fin]])-MAX(deb_nuit,Horaires35673[[#This Row],[début]])+MAX(MIN(fin_nuit-1,Horaires35673[[#This Row],[Fin]])-MIN(fin_nuit-1,Horaires35673[[#This Row],[début]]),0))*24)</f>
        <v>0</v>
      </c>
      <c r="O39" s="55">
        <f>(MAX(0,MIN(Horaires35673[[#This Row],[Fin corrigée si nuit]],fin_nuit)-MAX(Horaires35673[[#This Row],[début]],deb_nuit))-IF(Horaires35673[[#This Row],[PNP Début]]=0,0,MIN(Horaires35673[[#This Row],[PNP Fin corrigée]],fin_nuit)-MAX(Horaires35673[[#This Row],[PNP Début corrigé]],deb_nuit)))*24</f>
        <v>0</v>
      </c>
      <c r="P39" s="55">
        <f>(IF(WEEKDAY(Horaires35673[[#This Row],[Date]],2)=7,MAX(0,MIN(fin_dimJF,Horaires35673[[#This Row],[Fin corrigée si nuit]])-MAX(deb_dimJF,Horaires35673[[#This Row],[début]])),0)+IF(WEEKDAY(Horaires35673[[#This Row],[Date]],2)=6,MAX(0,Horaires35673[[#This Row],[Fin corrigée si nuit]]-(1+deb_dimJF)),0))*24</f>
        <v>0</v>
      </c>
      <c r="Q39" s="55">
        <f>(IF(WEEKDAY(Horaires35673[[#This Row],[Date]],2)=7,MAX(0,MIN(fin_dimJF,Horaires35673[[#This Row],[Fin corrigée si nuit]])-MAX(deb_dimJF,Horaires35673[[#This Row],[début]])),0)+IF(WEEKDAY(Horaires35673[[#This Row],[Date]],2)=6,MAX(0,Horaires35673[[#This Row],[Fin corrigée si nuit]]-(1+deb_dimJF)),0))*24-
(IF(WEEKDAY(Horaires35673[[#This Row],[Date]],2)=7,MAX(0,MIN(fin_dimJF,Horaires35673[[#This Row],[PNP Fin corrigée]])-MAX(deb_dimJF,Horaires35673[[#This Row],[PNP Début corrigé]])),0)+IF(WEEKDAY(Horaires35673[[#This Row],[Date]],2)=6,MAX(0,Horaires35673[[#This Row],[PNP Fin corrigée]]-(1+deb_dimJF)),0))*24</f>
        <v>0</v>
      </c>
      <c r="R39" s="55">
        <f>(IF(COUNTIF(JF,Horaires35673[[#This Row],[Date]]),MAX(0,MIN(fin_dimJF,Horaires35673[[#This Row],[Fin corrigée si nuit]])-MAX(deb_dimJF,Horaires35673[[#This Row],[début]])),0)+IF(COUNTIF(JF,Horaires35673[[#This Row],[Date]]+1),MAX(0,Horaires35673[[#This Row],[Fin corrigée si nuit]]-(1+deb_dimJF)),0))*24</f>
        <v>0</v>
      </c>
      <c r="S39" s="55">
        <f>(IF(COUNTIF(JF,Horaires35673[[#This Row],[Date]]),MAX(0,MIN(fin_dimJF,Horaires35673[[#This Row],[Fin corrigée si nuit]])-MAX(deb_dimJF,Horaires35673[[#This Row],[début]])),0)+IF(COUNTIF(JF,Horaires35673[[#This Row],[Date]]+1),MAX(0,Horaires35673[[#This Row],[Fin corrigée si nuit]]-(1+deb_dimJF)),0))*24-
(IF(COUNTIF(JF,Horaires35673[[#This Row],[Date]]),MAX(0,MIN(fin_dimJF,Horaires35673[[#This Row],[PNP Fin corrigée]])-MAX(deb_dimJF,Horaires35673[[#This Row],[PNP Début corrigé]])),0)+IF(COUNTIF(JF,Horaires35673[[#This Row],[Date]]+1),MAX(0,Horaires35673[[#This Row],[PNP Fin corrigée]]-(1+deb_dimJF)),0))*24</f>
        <v>0</v>
      </c>
    </row>
    <row r="40" spans="1:19" x14ac:dyDescent="0.35">
      <c r="A40" s="5"/>
      <c r="B40" s="1"/>
      <c r="C40" s="2"/>
      <c r="D40" s="2"/>
      <c r="E40" s="3"/>
      <c r="F40" s="3"/>
      <c r="G40" s="3"/>
      <c r="H40" s="3"/>
      <c r="I40" s="51">
        <f>0.1*(Horaires35673[[#This Row],[Heures de nuit]]+Horaires35673[[#This Row],[heures jour dimanche]]+Horaires35673[[#This Row],[heures jour fériés]])</f>
        <v>0</v>
      </c>
      <c r="J40" s="52">
        <f>(MOD(Horaires35673[[#This Row],[Fin]]-Horaires35673[[#This Row],[début]],1)-MOD(Horaires35673[[#This Row],[PNP Fin]]-Horaires35673[[#This Row],[PNP Début]],1))*24</f>
        <v>0</v>
      </c>
      <c r="K40" s="53">
        <f>IF(Horaires35673[[#This Row],[PNP Début]]=0,0,IF(Horaires35673[[#This Row],[PNP Début]]&lt;Horaires35673[[#This Row],[début]],1,0)+Horaires35673[[#This Row],[PNP Début]])</f>
        <v>0</v>
      </c>
      <c r="L40" s="54">
        <f>IF(Horaires35673[[#This Row],[PNP Fin]]=0,0,IF(Horaires35673[[#This Row],[PNP Fin]]&lt;Horaires35673[[#This Row],[début]],1,0)+Horaires35673[[#This Row],[PNP Fin]])</f>
        <v>0</v>
      </c>
      <c r="M40" s="54">
        <f>IF(Horaires35673[[#This Row],[Fin]]&lt;Horaires35673[[#This Row],[début]],1,0)+Horaires35673[[#This Row],[Fin]]</f>
        <v>0</v>
      </c>
      <c r="N40" s="35">
        <f>IF(Horaires35673[[#This Row],[Fin]]&lt;Horaires35673[[#This Row],[début]],MAX(0,MIN(Horaires35673[[#This Row],[Fin corrigée si nuit]],fin_nuit)-MAX(Horaires35673[[#This Row],[début]],deb_nuit))*24,(MAX(deb_nuit,Horaires35673[[#This Row],[Fin]])-MAX(deb_nuit,Horaires35673[[#This Row],[début]])+MAX(MIN(fin_nuit-1,Horaires35673[[#This Row],[Fin]])-MIN(fin_nuit-1,Horaires35673[[#This Row],[début]]),0))*24)</f>
        <v>0</v>
      </c>
      <c r="O40" s="55">
        <f>(MAX(0,MIN(Horaires35673[[#This Row],[Fin corrigée si nuit]],fin_nuit)-MAX(Horaires35673[[#This Row],[début]],deb_nuit))-IF(Horaires35673[[#This Row],[PNP Début]]=0,0,MIN(Horaires35673[[#This Row],[PNP Fin corrigée]],fin_nuit)-MAX(Horaires35673[[#This Row],[PNP Début corrigé]],deb_nuit)))*24</f>
        <v>0</v>
      </c>
      <c r="P40" s="55">
        <f>(IF(WEEKDAY(Horaires35673[[#This Row],[Date]],2)=7,MAX(0,MIN(fin_dimJF,Horaires35673[[#This Row],[Fin corrigée si nuit]])-MAX(deb_dimJF,Horaires35673[[#This Row],[début]])),0)+IF(WEEKDAY(Horaires35673[[#This Row],[Date]],2)=6,MAX(0,Horaires35673[[#This Row],[Fin corrigée si nuit]]-(1+deb_dimJF)),0))*24</f>
        <v>0</v>
      </c>
      <c r="Q40" s="55">
        <f>(IF(WEEKDAY(Horaires35673[[#This Row],[Date]],2)=7,MAX(0,MIN(fin_dimJF,Horaires35673[[#This Row],[Fin corrigée si nuit]])-MAX(deb_dimJF,Horaires35673[[#This Row],[début]])),0)+IF(WEEKDAY(Horaires35673[[#This Row],[Date]],2)=6,MAX(0,Horaires35673[[#This Row],[Fin corrigée si nuit]]-(1+deb_dimJF)),0))*24-
(IF(WEEKDAY(Horaires35673[[#This Row],[Date]],2)=7,MAX(0,MIN(fin_dimJF,Horaires35673[[#This Row],[PNP Fin corrigée]])-MAX(deb_dimJF,Horaires35673[[#This Row],[PNP Début corrigé]])),0)+IF(WEEKDAY(Horaires35673[[#This Row],[Date]],2)=6,MAX(0,Horaires35673[[#This Row],[PNP Fin corrigée]]-(1+deb_dimJF)),0))*24</f>
        <v>0</v>
      </c>
      <c r="R40" s="55">
        <f>(IF(COUNTIF(JF,Horaires35673[[#This Row],[Date]]),MAX(0,MIN(fin_dimJF,Horaires35673[[#This Row],[Fin corrigée si nuit]])-MAX(deb_dimJF,Horaires35673[[#This Row],[début]])),0)+IF(COUNTIF(JF,Horaires35673[[#This Row],[Date]]+1),MAX(0,Horaires35673[[#This Row],[Fin corrigée si nuit]]-(1+deb_dimJF)),0))*24</f>
        <v>0</v>
      </c>
      <c r="S40" s="55">
        <f>(IF(COUNTIF(JF,Horaires35673[[#This Row],[Date]]),MAX(0,MIN(fin_dimJF,Horaires35673[[#This Row],[Fin corrigée si nuit]])-MAX(deb_dimJF,Horaires35673[[#This Row],[début]])),0)+IF(COUNTIF(JF,Horaires35673[[#This Row],[Date]]+1),MAX(0,Horaires35673[[#This Row],[Fin corrigée si nuit]]-(1+deb_dimJF)),0))*24-
(IF(COUNTIF(JF,Horaires35673[[#This Row],[Date]]),MAX(0,MIN(fin_dimJF,Horaires35673[[#This Row],[PNP Fin corrigée]])-MAX(deb_dimJF,Horaires35673[[#This Row],[PNP Début corrigé]])),0)+IF(COUNTIF(JF,Horaires35673[[#This Row],[Date]]+1),MAX(0,Horaires35673[[#This Row],[PNP Fin corrigée]]-(1+deb_dimJF)),0))*24</f>
        <v>0</v>
      </c>
    </row>
    <row r="41" spans="1:19" x14ac:dyDescent="0.35">
      <c r="A41" s="5"/>
      <c r="B41" s="1"/>
      <c r="C41" s="2"/>
      <c r="D41" s="2"/>
      <c r="E41" s="3"/>
      <c r="F41" s="3"/>
      <c r="G41" s="3"/>
      <c r="H41" s="3"/>
      <c r="I41" s="51">
        <f>0.1*(Horaires35673[[#This Row],[Heures de nuit]]+Horaires35673[[#This Row],[heures jour dimanche]]+Horaires35673[[#This Row],[heures jour fériés]])</f>
        <v>0</v>
      </c>
      <c r="J41" s="52">
        <f>(MOD(Horaires35673[[#This Row],[Fin]]-Horaires35673[[#This Row],[début]],1)-MOD(Horaires35673[[#This Row],[PNP Fin]]-Horaires35673[[#This Row],[PNP Début]],1))*24</f>
        <v>0</v>
      </c>
      <c r="K41" s="53">
        <f>IF(Horaires35673[[#This Row],[PNP Début]]=0,0,IF(Horaires35673[[#This Row],[PNP Début]]&lt;Horaires35673[[#This Row],[début]],1,0)+Horaires35673[[#This Row],[PNP Début]])</f>
        <v>0</v>
      </c>
      <c r="L41" s="54">
        <f>IF(Horaires35673[[#This Row],[PNP Fin]]=0,0,IF(Horaires35673[[#This Row],[PNP Fin]]&lt;Horaires35673[[#This Row],[début]],1,0)+Horaires35673[[#This Row],[PNP Fin]])</f>
        <v>0</v>
      </c>
      <c r="M41" s="54">
        <f>IF(Horaires35673[[#This Row],[Fin]]&lt;Horaires35673[[#This Row],[début]],1,0)+Horaires35673[[#This Row],[Fin]]</f>
        <v>0</v>
      </c>
      <c r="N41" s="35">
        <f>IF(Horaires35673[[#This Row],[Fin]]&lt;Horaires35673[[#This Row],[début]],MAX(0,MIN(Horaires35673[[#This Row],[Fin corrigée si nuit]],fin_nuit)-MAX(Horaires35673[[#This Row],[début]],deb_nuit))*24,(MAX(deb_nuit,Horaires35673[[#This Row],[Fin]])-MAX(deb_nuit,Horaires35673[[#This Row],[début]])+MAX(MIN(fin_nuit-1,Horaires35673[[#This Row],[Fin]])-MIN(fin_nuit-1,Horaires35673[[#This Row],[début]]),0))*24)</f>
        <v>0</v>
      </c>
      <c r="O41" s="55">
        <f>(MAX(0,MIN(Horaires35673[[#This Row],[Fin corrigée si nuit]],fin_nuit)-MAX(Horaires35673[[#This Row],[début]],deb_nuit))-IF(Horaires35673[[#This Row],[PNP Début]]=0,0,MIN(Horaires35673[[#This Row],[PNP Fin corrigée]],fin_nuit)-MAX(Horaires35673[[#This Row],[PNP Début corrigé]],deb_nuit)))*24</f>
        <v>0</v>
      </c>
      <c r="P41" s="55">
        <f>(IF(WEEKDAY(Horaires35673[[#This Row],[Date]],2)=7,MAX(0,MIN(fin_dimJF,Horaires35673[[#This Row],[Fin corrigée si nuit]])-MAX(deb_dimJF,Horaires35673[[#This Row],[début]])),0)+IF(WEEKDAY(Horaires35673[[#This Row],[Date]],2)=6,MAX(0,Horaires35673[[#This Row],[Fin corrigée si nuit]]-(1+deb_dimJF)),0))*24</f>
        <v>0</v>
      </c>
      <c r="Q41" s="55">
        <f>(IF(WEEKDAY(Horaires35673[[#This Row],[Date]],2)=7,MAX(0,MIN(fin_dimJF,Horaires35673[[#This Row],[Fin corrigée si nuit]])-MAX(deb_dimJF,Horaires35673[[#This Row],[début]])),0)+IF(WEEKDAY(Horaires35673[[#This Row],[Date]],2)=6,MAX(0,Horaires35673[[#This Row],[Fin corrigée si nuit]]-(1+deb_dimJF)),0))*24-
(IF(WEEKDAY(Horaires35673[[#This Row],[Date]],2)=7,MAX(0,MIN(fin_dimJF,Horaires35673[[#This Row],[PNP Fin corrigée]])-MAX(deb_dimJF,Horaires35673[[#This Row],[PNP Début corrigé]])),0)+IF(WEEKDAY(Horaires35673[[#This Row],[Date]],2)=6,MAX(0,Horaires35673[[#This Row],[PNP Fin corrigée]]-(1+deb_dimJF)),0))*24</f>
        <v>0</v>
      </c>
      <c r="R41" s="55">
        <f>(IF(COUNTIF(JF,Horaires35673[[#This Row],[Date]]),MAX(0,MIN(fin_dimJF,Horaires35673[[#This Row],[Fin corrigée si nuit]])-MAX(deb_dimJF,Horaires35673[[#This Row],[début]])),0)+IF(COUNTIF(JF,Horaires35673[[#This Row],[Date]]+1),MAX(0,Horaires35673[[#This Row],[Fin corrigée si nuit]]-(1+deb_dimJF)),0))*24</f>
        <v>0</v>
      </c>
      <c r="S41" s="55">
        <f>(IF(COUNTIF(JF,Horaires35673[[#This Row],[Date]]),MAX(0,MIN(fin_dimJF,Horaires35673[[#This Row],[Fin corrigée si nuit]])-MAX(deb_dimJF,Horaires35673[[#This Row],[début]])),0)+IF(COUNTIF(JF,Horaires35673[[#This Row],[Date]]+1),MAX(0,Horaires35673[[#This Row],[Fin corrigée si nuit]]-(1+deb_dimJF)),0))*24-
(IF(COUNTIF(JF,Horaires35673[[#This Row],[Date]]),MAX(0,MIN(fin_dimJF,Horaires35673[[#This Row],[PNP Fin corrigée]])-MAX(deb_dimJF,Horaires35673[[#This Row],[PNP Début corrigé]])),0)+IF(COUNTIF(JF,Horaires35673[[#This Row],[Date]]+1),MAX(0,Horaires35673[[#This Row],[PNP Fin corrigée]]-(1+deb_dimJF)),0))*24</f>
        <v>0</v>
      </c>
    </row>
    <row r="42" spans="1:19" x14ac:dyDescent="0.35">
      <c r="A42" s="5"/>
      <c r="B42" s="1"/>
      <c r="C42" s="2"/>
      <c r="D42" s="2"/>
      <c r="E42" s="3"/>
      <c r="F42" s="3"/>
      <c r="G42" s="3"/>
      <c r="H42" s="3"/>
      <c r="I42" s="51">
        <f>0.1*(Horaires35673[[#This Row],[Heures de nuit]]+Horaires35673[[#This Row],[heures jour dimanche]]+Horaires35673[[#This Row],[heures jour fériés]])</f>
        <v>0</v>
      </c>
      <c r="J42" s="52">
        <f>(MOD(Horaires35673[[#This Row],[Fin]]-Horaires35673[[#This Row],[début]],1)-MOD(Horaires35673[[#This Row],[PNP Fin]]-Horaires35673[[#This Row],[PNP Début]],1))*24</f>
        <v>0</v>
      </c>
      <c r="K42" s="53">
        <f>IF(Horaires35673[[#This Row],[PNP Début]]=0,0,IF(Horaires35673[[#This Row],[PNP Début]]&lt;Horaires35673[[#This Row],[début]],1,0)+Horaires35673[[#This Row],[PNP Début]])</f>
        <v>0</v>
      </c>
      <c r="L42" s="54">
        <f>IF(Horaires35673[[#This Row],[PNP Fin]]=0,0,IF(Horaires35673[[#This Row],[PNP Fin]]&lt;Horaires35673[[#This Row],[début]],1,0)+Horaires35673[[#This Row],[PNP Fin]])</f>
        <v>0</v>
      </c>
      <c r="M42" s="54">
        <f>IF(Horaires35673[[#This Row],[Fin]]&lt;Horaires35673[[#This Row],[début]],1,0)+Horaires35673[[#This Row],[Fin]]</f>
        <v>0</v>
      </c>
      <c r="N42" s="35">
        <f>IF(Horaires35673[[#This Row],[Fin]]&lt;Horaires35673[[#This Row],[début]],MAX(0,MIN(Horaires35673[[#This Row],[Fin corrigée si nuit]],fin_nuit)-MAX(Horaires35673[[#This Row],[début]],deb_nuit))*24,(MAX(deb_nuit,Horaires35673[[#This Row],[Fin]])-MAX(deb_nuit,Horaires35673[[#This Row],[début]])+MAX(MIN(fin_nuit-1,Horaires35673[[#This Row],[Fin]])-MIN(fin_nuit-1,Horaires35673[[#This Row],[début]]),0))*24)</f>
        <v>0</v>
      </c>
      <c r="O42" s="55">
        <f>(MAX(0,MIN(Horaires35673[[#This Row],[Fin corrigée si nuit]],fin_nuit)-MAX(Horaires35673[[#This Row],[début]],deb_nuit))-IF(Horaires35673[[#This Row],[PNP Début]]=0,0,MIN(Horaires35673[[#This Row],[PNP Fin corrigée]],fin_nuit)-MAX(Horaires35673[[#This Row],[PNP Début corrigé]],deb_nuit)))*24</f>
        <v>0</v>
      </c>
      <c r="P42" s="55">
        <f>(IF(WEEKDAY(Horaires35673[[#This Row],[Date]],2)=7,MAX(0,MIN(fin_dimJF,Horaires35673[[#This Row],[Fin corrigée si nuit]])-MAX(deb_dimJF,Horaires35673[[#This Row],[début]])),0)+IF(WEEKDAY(Horaires35673[[#This Row],[Date]],2)=6,MAX(0,Horaires35673[[#This Row],[Fin corrigée si nuit]]-(1+deb_dimJF)),0))*24</f>
        <v>0</v>
      </c>
      <c r="Q42" s="55">
        <f>(IF(WEEKDAY(Horaires35673[[#This Row],[Date]],2)=7,MAX(0,MIN(fin_dimJF,Horaires35673[[#This Row],[Fin corrigée si nuit]])-MAX(deb_dimJF,Horaires35673[[#This Row],[début]])),0)+IF(WEEKDAY(Horaires35673[[#This Row],[Date]],2)=6,MAX(0,Horaires35673[[#This Row],[Fin corrigée si nuit]]-(1+deb_dimJF)),0))*24-
(IF(WEEKDAY(Horaires35673[[#This Row],[Date]],2)=7,MAX(0,MIN(fin_dimJF,Horaires35673[[#This Row],[PNP Fin corrigée]])-MAX(deb_dimJF,Horaires35673[[#This Row],[PNP Début corrigé]])),0)+IF(WEEKDAY(Horaires35673[[#This Row],[Date]],2)=6,MAX(0,Horaires35673[[#This Row],[PNP Fin corrigée]]-(1+deb_dimJF)),0))*24</f>
        <v>0</v>
      </c>
      <c r="R42" s="55">
        <f>(IF(COUNTIF(JF,Horaires35673[[#This Row],[Date]]),MAX(0,MIN(fin_dimJF,Horaires35673[[#This Row],[Fin corrigée si nuit]])-MAX(deb_dimJF,Horaires35673[[#This Row],[début]])),0)+IF(COUNTIF(JF,Horaires35673[[#This Row],[Date]]+1),MAX(0,Horaires35673[[#This Row],[Fin corrigée si nuit]]-(1+deb_dimJF)),0))*24</f>
        <v>0</v>
      </c>
      <c r="S42" s="55">
        <f>(IF(COUNTIF(JF,Horaires35673[[#This Row],[Date]]),MAX(0,MIN(fin_dimJF,Horaires35673[[#This Row],[Fin corrigée si nuit]])-MAX(deb_dimJF,Horaires35673[[#This Row],[début]])),0)+IF(COUNTIF(JF,Horaires35673[[#This Row],[Date]]+1),MAX(0,Horaires35673[[#This Row],[Fin corrigée si nuit]]-(1+deb_dimJF)),0))*24-
(IF(COUNTIF(JF,Horaires35673[[#This Row],[Date]]),MAX(0,MIN(fin_dimJF,Horaires35673[[#This Row],[PNP Fin corrigée]])-MAX(deb_dimJF,Horaires35673[[#This Row],[PNP Début corrigé]])),0)+IF(COUNTIF(JF,Horaires35673[[#This Row],[Date]]+1),MAX(0,Horaires35673[[#This Row],[PNP Fin corrigée]]-(1+deb_dimJF)),0))*24</f>
        <v>0</v>
      </c>
    </row>
    <row r="43" spans="1:19" x14ac:dyDescent="0.35">
      <c r="A43" s="5"/>
      <c r="B43" s="1"/>
      <c r="C43" s="2"/>
      <c r="D43" s="2"/>
      <c r="E43" s="3"/>
      <c r="F43" s="3"/>
      <c r="G43" s="3"/>
      <c r="H43" s="3"/>
      <c r="I43" s="51">
        <f>0.1*(Horaires35673[[#This Row],[Heures de nuit]]+Horaires35673[[#This Row],[heures jour dimanche]]+Horaires35673[[#This Row],[heures jour fériés]])</f>
        <v>0</v>
      </c>
      <c r="J43" s="52">
        <f>(MOD(Horaires35673[[#This Row],[Fin]]-Horaires35673[[#This Row],[début]],1)-MOD(Horaires35673[[#This Row],[PNP Fin]]-Horaires35673[[#This Row],[PNP Début]],1))*24</f>
        <v>0</v>
      </c>
      <c r="K43" s="53">
        <f>IF(Horaires35673[[#This Row],[PNP Début]]=0,0,IF(Horaires35673[[#This Row],[PNP Début]]&lt;Horaires35673[[#This Row],[début]],1,0)+Horaires35673[[#This Row],[PNP Début]])</f>
        <v>0</v>
      </c>
      <c r="L43" s="54">
        <f>IF(Horaires35673[[#This Row],[PNP Fin]]=0,0,IF(Horaires35673[[#This Row],[PNP Fin]]&lt;Horaires35673[[#This Row],[début]],1,0)+Horaires35673[[#This Row],[PNP Fin]])</f>
        <v>0</v>
      </c>
      <c r="M43" s="54">
        <f>IF(Horaires35673[[#This Row],[Fin]]&lt;Horaires35673[[#This Row],[début]],1,0)+Horaires35673[[#This Row],[Fin]]</f>
        <v>0</v>
      </c>
      <c r="N43" s="35">
        <f>IF(Horaires35673[[#This Row],[Fin]]&lt;Horaires35673[[#This Row],[début]],MAX(0,MIN(Horaires35673[[#This Row],[Fin corrigée si nuit]],fin_nuit)-MAX(Horaires35673[[#This Row],[début]],deb_nuit))*24,(MAX(deb_nuit,Horaires35673[[#This Row],[Fin]])-MAX(deb_nuit,Horaires35673[[#This Row],[début]])+MAX(MIN(fin_nuit-1,Horaires35673[[#This Row],[Fin]])-MIN(fin_nuit-1,Horaires35673[[#This Row],[début]]),0))*24)</f>
        <v>0</v>
      </c>
      <c r="O43" s="55">
        <f>(MAX(0,MIN(Horaires35673[[#This Row],[Fin corrigée si nuit]],fin_nuit)-MAX(Horaires35673[[#This Row],[début]],deb_nuit))-IF(Horaires35673[[#This Row],[PNP Début]]=0,0,MIN(Horaires35673[[#This Row],[PNP Fin corrigée]],fin_nuit)-MAX(Horaires35673[[#This Row],[PNP Début corrigé]],deb_nuit)))*24</f>
        <v>0</v>
      </c>
      <c r="P43" s="55">
        <f>(IF(WEEKDAY(Horaires35673[[#This Row],[Date]],2)=7,MAX(0,MIN(fin_dimJF,Horaires35673[[#This Row],[Fin corrigée si nuit]])-MAX(deb_dimJF,Horaires35673[[#This Row],[début]])),0)+IF(WEEKDAY(Horaires35673[[#This Row],[Date]],2)=6,MAX(0,Horaires35673[[#This Row],[Fin corrigée si nuit]]-(1+deb_dimJF)),0))*24</f>
        <v>0</v>
      </c>
      <c r="Q43" s="55">
        <f>(IF(WEEKDAY(Horaires35673[[#This Row],[Date]],2)=7,MAX(0,MIN(fin_dimJF,Horaires35673[[#This Row],[Fin corrigée si nuit]])-MAX(deb_dimJF,Horaires35673[[#This Row],[début]])),0)+IF(WEEKDAY(Horaires35673[[#This Row],[Date]],2)=6,MAX(0,Horaires35673[[#This Row],[Fin corrigée si nuit]]-(1+deb_dimJF)),0))*24-
(IF(WEEKDAY(Horaires35673[[#This Row],[Date]],2)=7,MAX(0,MIN(fin_dimJF,Horaires35673[[#This Row],[PNP Fin corrigée]])-MAX(deb_dimJF,Horaires35673[[#This Row],[PNP Début corrigé]])),0)+IF(WEEKDAY(Horaires35673[[#This Row],[Date]],2)=6,MAX(0,Horaires35673[[#This Row],[PNP Fin corrigée]]-(1+deb_dimJF)),0))*24</f>
        <v>0</v>
      </c>
      <c r="R43" s="55">
        <f>(IF(COUNTIF(JF,Horaires35673[[#This Row],[Date]]),MAX(0,MIN(fin_dimJF,Horaires35673[[#This Row],[Fin corrigée si nuit]])-MAX(deb_dimJF,Horaires35673[[#This Row],[début]])),0)+IF(COUNTIF(JF,Horaires35673[[#This Row],[Date]]+1),MAX(0,Horaires35673[[#This Row],[Fin corrigée si nuit]]-(1+deb_dimJF)),0))*24</f>
        <v>0</v>
      </c>
      <c r="S43" s="55">
        <f>(IF(COUNTIF(JF,Horaires35673[[#This Row],[Date]]),MAX(0,MIN(fin_dimJF,Horaires35673[[#This Row],[Fin corrigée si nuit]])-MAX(deb_dimJF,Horaires35673[[#This Row],[début]])),0)+IF(COUNTIF(JF,Horaires35673[[#This Row],[Date]]+1),MAX(0,Horaires35673[[#This Row],[Fin corrigée si nuit]]-(1+deb_dimJF)),0))*24-
(IF(COUNTIF(JF,Horaires35673[[#This Row],[Date]]),MAX(0,MIN(fin_dimJF,Horaires35673[[#This Row],[PNP Fin corrigée]])-MAX(deb_dimJF,Horaires35673[[#This Row],[PNP Début corrigé]])),0)+IF(COUNTIF(JF,Horaires35673[[#This Row],[Date]]+1),MAX(0,Horaires35673[[#This Row],[PNP Fin corrigée]]-(1+deb_dimJF)),0))*24</f>
        <v>0</v>
      </c>
    </row>
    <row r="44" spans="1:19" x14ac:dyDescent="0.35">
      <c r="A44" s="5"/>
      <c r="B44" s="1"/>
      <c r="C44" s="2"/>
      <c r="D44" s="2"/>
      <c r="E44" s="3"/>
      <c r="F44" s="3"/>
      <c r="G44" s="3"/>
      <c r="H44" s="3"/>
      <c r="I44" s="51">
        <f>0.1*(Horaires35673[[#This Row],[Heures de nuit]]+Horaires35673[[#This Row],[heures jour dimanche]]+Horaires35673[[#This Row],[heures jour fériés]])</f>
        <v>0</v>
      </c>
      <c r="J44" s="52">
        <f>(MOD(Horaires35673[[#This Row],[Fin]]-Horaires35673[[#This Row],[début]],1)-MOD(Horaires35673[[#This Row],[PNP Fin]]-Horaires35673[[#This Row],[PNP Début]],1))*24</f>
        <v>0</v>
      </c>
      <c r="K44" s="53">
        <f>IF(Horaires35673[[#This Row],[PNP Début]]=0,0,IF(Horaires35673[[#This Row],[PNP Début]]&lt;Horaires35673[[#This Row],[début]],1,0)+Horaires35673[[#This Row],[PNP Début]])</f>
        <v>0</v>
      </c>
      <c r="L44" s="54">
        <f>IF(Horaires35673[[#This Row],[PNP Fin]]=0,0,IF(Horaires35673[[#This Row],[PNP Fin]]&lt;Horaires35673[[#This Row],[début]],1,0)+Horaires35673[[#This Row],[PNP Fin]])</f>
        <v>0</v>
      </c>
      <c r="M44" s="54">
        <f>IF(Horaires35673[[#This Row],[Fin]]&lt;Horaires35673[[#This Row],[début]],1,0)+Horaires35673[[#This Row],[Fin]]</f>
        <v>0</v>
      </c>
      <c r="N44" s="35">
        <f>IF(Horaires35673[[#This Row],[Fin]]&lt;Horaires35673[[#This Row],[début]],MAX(0,MIN(Horaires35673[[#This Row],[Fin corrigée si nuit]],fin_nuit)-MAX(Horaires35673[[#This Row],[début]],deb_nuit))*24,(MAX(deb_nuit,Horaires35673[[#This Row],[Fin]])-MAX(deb_nuit,Horaires35673[[#This Row],[début]])+MAX(MIN(fin_nuit-1,Horaires35673[[#This Row],[Fin]])-MIN(fin_nuit-1,Horaires35673[[#This Row],[début]]),0))*24)</f>
        <v>0</v>
      </c>
      <c r="O44" s="55">
        <f>(MAX(0,MIN(Horaires35673[[#This Row],[Fin corrigée si nuit]],fin_nuit)-MAX(Horaires35673[[#This Row],[début]],deb_nuit))-IF(Horaires35673[[#This Row],[PNP Début]]=0,0,MIN(Horaires35673[[#This Row],[PNP Fin corrigée]],fin_nuit)-MAX(Horaires35673[[#This Row],[PNP Début corrigé]],deb_nuit)))*24</f>
        <v>0</v>
      </c>
      <c r="P44" s="55">
        <f>(IF(WEEKDAY(Horaires35673[[#This Row],[Date]],2)=7,MAX(0,MIN(fin_dimJF,Horaires35673[[#This Row],[Fin corrigée si nuit]])-MAX(deb_dimJF,Horaires35673[[#This Row],[début]])),0)+IF(WEEKDAY(Horaires35673[[#This Row],[Date]],2)=6,MAX(0,Horaires35673[[#This Row],[Fin corrigée si nuit]]-(1+deb_dimJF)),0))*24</f>
        <v>0</v>
      </c>
      <c r="Q44" s="55">
        <f>(IF(WEEKDAY(Horaires35673[[#This Row],[Date]],2)=7,MAX(0,MIN(fin_dimJF,Horaires35673[[#This Row],[Fin corrigée si nuit]])-MAX(deb_dimJF,Horaires35673[[#This Row],[début]])),0)+IF(WEEKDAY(Horaires35673[[#This Row],[Date]],2)=6,MAX(0,Horaires35673[[#This Row],[Fin corrigée si nuit]]-(1+deb_dimJF)),0))*24-
(IF(WEEKDAY(Horaires35673[[#This Row],[Date]],2)=7,MAX(0,MIN(fin_dimJF,Horaires35673[[#This Row],[PNP Fin corrigée]])-MAX(deb_dimJF,Horaires35673[[#This Row],[PNP Début corrigé]])),0)+IF(WEEKDAY(Horaires35673[[#This Row],[Date]],2)=6,MAX(0,Horaires35673[[#This Row],[PNP Fin corrigée]]-(1+deb_dimJF)),0))*24</f>
        <v>0</v>
      </c>
      <c r="R44" s="55">
        <f>(IF(COUNTIF(JF,Horaires35673[[#This Row],[Date]]),MAX(0,MIN(fin_dimJF,Horaires35673[[#This Row],[Fin corrigée si nuit]])-MAX(deb_dimJF,Horaires35673[[#This Row],[début]])),0)+IF(COUNTIF(JF,Horaires35673[[#This Row],[Date]]+1),MAX(0,Horaires35673[[#This Row],[Fin corrigée si nuit]]-(1+deb_dimJF)),0))*24</f>
        <v>0</v>
      </c>
      <c r="S44" s="55">
        <f>(IF(COUNTIF(JF,Horaires35673[[#This Row],[Date]]),MAX(0,MIN(fin_dimJF,Horaires35673[[#This Row],[Fin corrigée si nuit]])-MAX(deb_dimJF,Horaires35673[[#This Row],[début]])),0)+IF(COUNTIF(JF,Horaires35673[[#This Row],[Date]]+1),MAX(0,Horaires35673[[#This Row],[Fin corrigée si nuit]]-(1+deb_dimJF)),0))*24-
(IF(COUNTIF(JF,Horaires35673[[#This Row],[Date]]),MAX(0,MIN(fin_dimJF,Horaires35673[[#This Row],[PNP Fin corrigée]])-MAX(deb_dimJF,Horaires35673[[#This Row],[PNP Début corrigé]])),0)+IF(COUNTIF(JF,Horaires35673[[#This Row],[Date]]+1),MAX(0,Horaires35673[[#This Row],[PNP Fin corrigée]]-(1+deb_dimJF)),0))*24</f>
        <v>0</v>
      </c>
    </row>
    <row r="45" spans="1:19" x14ac:dyDescent="0.35">
      <c r="A45" s="5"/>
      <c r="B45" s="1"/>
      <c r="C45" s="2"/>
      <c r="D45" s="2"/>
      <c r="E45" s="3"/>
      <c r="F45" s="3"/>
      <c r="G45" s="3"/>
      <c r="H45" s="3"/>
      <c r="I45" s="51">
        <f>0.1*(Horaires35673[[#This Row],[Heures de nuit]]+Horaires35673[[#This Row],[heures jour dimanche]]+Horaires35673[[#This Row],[heures jour fériés]])</f>
        <v>0</v>
      </c>
      <c r="J45" s="52">
        <f>(MOD(Horaires35673[[#This Row],[Fin]]-Horaires35673[[#This Row],[début]],1)-MOD(Horaires35673[[#This Row],[PNP Fin]]-Horaires35673[[#This Row],[PNP Début]],1))*24</f>
        <v>0</v>
      </c>
      <c r="K45" s="53">
        <f>IF(Horaires35673[[#This Row],[PNP Début]]=0,0,IF(Horaires35673[[#This Row],[PNP Début]]&lt;Horaires35673[[#This Row],[début]],1,0)+Horaires35673[[#This Row],[PNP Début]])</f>
        <v>0</v>
      </c>
      <c r="L45" s="54">
        <f>IF(Horaires35673[[#This Row],[PNP Fin]]=0,0,IF(Horaires35673[[#This Row],[PNP Fin]]&lt;Horaires35673[[#This Row],[début]],1,0)+Horaires35673[[#This Row],[PNP Fin]])</f>
        <v>0</v>
      </c>
      <c r="M45" s="54">
        <f>IF(Horaires35673[[#This Row],[Fin]]&lt;Horaires35673[[#This Row],[début]],1,0)+Horaires35673[[#This Row],[Fin]]</f>
        <v>0</v>
      </c>
      <c r="N45" s="35">
        <f>IF(Horaires35673[[#This Row],[Fin]]&lt;Horaires35673[[#This Row],[début]],MAX(0,MIN(Horaires35673[[#This Row],[Fin corrigée si nuit]],fin_nuit)-MAX(Horaires35673[[#This Row],[début]],deb_nuit))*24,(MAX(deb_nuit,Horaires35673[[#This Row],[Fin]])-MAX(deb_nuit,Horaires35673[[#This Row],[début]])+MAX(MIN(fin_nuit-1,Horaires35673[[#This Row],[Fin]])-MIN(fin_nuit-1,Horaires35673[[#This Row],[début]]),0))*24)</f>
        <v>0</v>
      </c>
      <c r="O45" s="55">
        <f>(MAX(0,MIN(Horaires35673[[#This Row],[Fin corrigée si nuit]],fin_nuit)-MAX(Horaires35673[[#This Row],[début]],deb_nuit))-IF(Horaires35673[[#This Row],[PNP Début]]=0,0,MIN(Horaires35673[[#This Row],[PNP Fin corrigée]],fin_nuit)-MAX(Horaires35673[[#This Row],[PNP Début corrigé]],deb_nuit)))*24</f>
        <v>0</v>
      </c>
      <c r="P45" s="55">
        <f>(IF(WEEKDAY(Horaires35673[[#This Row],[Date]],2)=7,MAX(0,MIN(fin_dimJF,Horaires35673[[#This Row],[Fin corrigée si nuit]])-MAX(deb_dimJF,Horaires35673[[#This Row],[début]])),0)+IF(WEEKDAY(Horaires35673[[#This Row],[Date]],2)=6,MAX(0,Horaires35673[[#This Row],[Fin corrigée si nuit]]-(1+deb_dimJF)),0))*24</f>
        <v>0</v>
      </c>
      <c r="Q45" s="55">
        <f>(IF(WEEKDAY(Horaires35673[[#This Row],[Date]],2)=7,MAX(0,MIN(fin_dimJF,Horaires35673[[#This Row],[Fin corrigée si nuit]])-MAX(deb_dimJF,Horaires35673[[#This Row],[début]])),0)+IF(WEEKDAY(Horaires35673[[#This Row],[Date]],2)=6,MAX(0,Horaires35673[[#This Row],[Fin corrigée si nuit]]-(1+deb_dimJF)),0))*24-
(IF(WEEKDAY(Horaires35673[[#This Row],[Date]],2)=7,MAX(0,MIN(fin_dimJF,Horaires35673[[#This Row],[PNP Fin corrigée]])-MAX(deb_dimJF,Horaires35673[[#This Row],[PNP Début corrigé]])),0)+IF(WEEKDAY(Horaires35673[[#This Row],[Date]],2)=6,MAX(0,Horaires35673[[#This Row],[PNP Fin corrigée]]-(1+deb_dimJF)),0))*24</f>
        <v>0</v>
      </c>
      <c r="R45" s="55">
        <f>(IF(COUNTIF(JF,Horaires35673[[#This Row],[Date]]),MAX(0,MIN(fin_dimJF,Horaires35673[[#This Row],[Fin corrigée si nuit]])-MAX(deb_dimJF,Horaires35673[[#This Row],[début]])),0)+IF(COUNTIF(JF,Horaires35673[[#This Row],[Date]]+1),MAX(0,Horaires35673[[#This Row],[Fin corrigée si nuit]]-(1+deb_dimJF)),0))*24</f>
        <v>0</v>
      </c>
      <c r="S45" s="55">
        <f>(IF(COUNTIF(JF,Horaires35673[[#This Row],[Date]]),MAX(0,MIN(fin_dimJF,Horaires35673[[#This Row],[Fin corrigée si nuit]])-MAX(deb_dimJF,Horaires35673[[#This Row],[début]])),0)+IF(COUNTIF(JF,Horaires35673[[#This Row],[Date]]+1),MAX(0,Horaires35673[[#This Row],[Fin corrigée si nuit]]-(1+deb_dimJF)),0))*24-
(IF(COUNTIF(JF,Horaires35673[[#This Row],[Date]]),MAX(0,MIN(fin_dimJF,Horaires35673[[#This Row],[PNP Fin corrigée]])-MAX(deb_dimJF,Horaires35673[[#This Row],[PNP Début corrigé]])),0)+IF(COUNTIF(JF,Horaires35673[[#This Row],[Date]]+1),MAX(0,Horaires35673[[#This Row],[PNP Fin corrigée]]-(1+deb_dimJF)),0))*24</f>
        <v>0</v>
      </c>
    </row>
    <row r="46" spans="1:19" x14ac:dyDescent="0.35">
      <c r="A46" s="5"/>
      <c r="B46" s="1"/>
      <c r="C46" s="2"/>
      <c r="D46" s="2"/>
      <c r="E46" s="3"/>
      <c r="F46" s="3"/>
      <c r="G46" s="3"/>
      <c r="H46" s="3"/>
      <c r="I46" s="51">
        <f>0.1*(Horaires35673[[#This Row],[Heures de nuit]]+Horaires35673[[#This Row],[heures jour dimanche]]+Horaires35673[[#This Row],[heures jour fériés]])</f>
        <v>0</v>
      </c>
      <c r="J46" s="52">
        <f>(MOD(Horaires35673[[#This Row],[Fin]]-Horaires35673[[#This Row],[début]],1)-MOD(Horaires35673[[#This Row],[PNP Fin]]-Horaires35673[[#This Row],[PNP Début]],1))*24</f>
        <v>0</v>
      </c>
      <c r="K46" s="53">
        <f>IF(Horaires35673[[#This Row],[PNP Début]]=0,0,IF(Horaires35673[[#This Row],[PNP Début]]&lt;Horaires35673[[#This Row],[début]],1,0)+Horaires35673[[#This Row],[PNP Début]])</f>
        <v>0</v>
      </c>
      <c r="L46" s="54">
        <f>IF(Horaires35673[[#This Row],[PNP Fin]]=0,0,IF(Horaires35673[[#This Row],[PNP Fin]]&lt;Horaires35673[[#This Row],[début]],1,0)+Horaires35673[[#This Row],[PNP Fin]])</f>
        <v>0</v>
      </c>
      <c r="M46" s="54">
        <f>IF(Horaires35673[[#This Row],[Fin]]&lt;Horaires35673[[#This Row],[début]],1,0)+Horaires35673[[#This Row],[Fin]]</f>
        <v>0</v>
      </c>
      <c r="N46" s="35">
        <f>IF(Horaires35673[[#This Row],[Fin]]&lt;Horaires35673[[#This Row],[début]],MAX(0,MIN(Horaires35673[[#This Row],[Fin corrigée si nuit]],fin_nuit)-MAX(Horaires35673[[#This Row],[début]],deb_nuit))*24,(MAX(deb_nuit,Horaires35673[[#This Row],[Fin]])-MAX(deb_nuit,Horaires35673[[#This Row],[début]])+MAX(MIN(fin_nuit-1,Horaires35673[[#This Row],[Fin]])-MIN(fin_nuit-1,Horaires35673[[#This Row],[début]]),0))*24)</f>
        <v>0</v>
      </c>
      <c r="O46" s="55">
        <f>(MAX(0,MIN(Horaires35673[[#This Row],[Fin corrigée si nuit]],fin_nuit)-MAX(Horaires35673[[#This Row],[début]],deb_nuit))-IF(Horaires35673[[#This Row],[PNP Début]]=0,0,MIN(Horaires35673[[#This Row],[PNP Fin corrigée]],fin_nuit)-MAX(Horaires35673[[#This Row],[PNP Début corrigé]],deb_nuit)))*24</f>
        <v>0</v>
      </c>
      <c r="P46" s="55">
        <f>(IF(WEEKDAY(Horaires35673[[#This Row],[Date]],2)=7,MAX(0,MIN(fin_dimJF,Horaires35673[[#This Row],[Fin corrigée si nuit]])-MAX(deb_dimJF,Horaires35673[[#This Row],[début]])),0)+IF(WEEKDAY(Horaires35673[[#This Row],[Date]],2)=6,MAX(0,Horaires35673[[#This Row],[Fin corrigée si nuit]]-(1+deb_dimJF)),0))*24</f>
        <v>0</v>
      </c>
      <c r="Q46" s="55">
        <f>(IF(WEEKDAY(Horaires35673[[#This Row],[Date]],2)=7,MAX(0,MIN(fin_dimJF,Horaires35673[[#This Row],[Fin corrigée si nuit]])-MAX(deb_dimJF,Horaires35673[[#This Row],[début]])),0)+IF(WEEKDAY(Horaires35673[[#This Row],[Date]],2)=6,MAX(0,Horaires35673[[#This Row],[Fin corrigée si nuit]]-(1+deb_dimJF)),0))*24-
(IF(WEEKDAY(Horaires35673[[#This Row],[Date]],2)=7,MAX(0,MIN(fin_dimJF,Horaires35673[[#This Row],[PNP Fin corrigée]])-MAX(deb_dimJF,Horaires35673[[#This Row],[PNP Début corrigé]])),0)+IF(WEEKDAY(Horaires35673[[#This Row],[Date]],2)=6,MAX(0,Horaires35673[[#This Row],[PNP Fin corrigée]]-(1+deb_dimJF)),0))*24</f>
        <v>0</v>
      </c>
      <c r="R46" s="55">
        <f>(IF(COUNTIF(JF,Horaires35673[[#This Row],[Date]]),MAX(0,MIN(fin_dimJF,Horaires35673[[#This Row],[Fin corrigée si nuit]])-MAX(deb_dimJF,Horaires35673[[#This Row],[début]])),0)+IF(COUNTIF(JF,Horaires35673[[#This Row],[Date]]+1),MAX(0,Horaires35673[[#This Row],[Fin corrigée si nuit]]-(1+deb_dimJF)),0))*24</f>
        <v>0</v>
      </c>
      <c r="S46" s="55">
        <f>(IF(COUNTIF(JF,Horaires35673[[#This Row],[Date]]),MAX(0,MIN(fin_dimJF,Horaires35673[[#This Row],[Fin corrigée si nuit]])-MAX(deb_dimJF,Horaires35673[[#This Row],[début]])),0)+IF(COUNTIF(JF,Horaires35673[[#This Row],[Date]]+1),MAX(0,Horaires35673[[#This Row],[Fin corrigée si nuit]]-(1+deb_dimJF)),0))*24-
(IF(COUNTIF(JF,Horaires35673[[#This Row],[Date]]),MAX(0,MIN(fin_dimJF,Horaires35673[[#This Row],[PNP Fin corrigée]])-MAX(deb_dimJF,Horaires35673[[#This Row],[PNP Début corrigé]])),0)+IF(COUNTIF(JF,Horaires35673[[#This Row],[Date]]+1),MAX(0,Horaires35673[[#This Row],[PNP Fin corrigée]]-(1+deb_dimJF)),0))*24</f>
        <v>0</v>
      </c>
    </row>
    <row r="47" spans="1:19" x14ac:dyDescent="0.35">
      <c r="A47" s="5"/>
      <c r="B47" s="1"/>
      <c r="C47" s="2"/>
      <c r="D47" s="2"/>
      <c r="E47" s="3"/>
      <c r="F47" s="3"/>
      <c r="G47" s="3"/>
      <c r="H47" s="3"/>
      <c r="I47" s="51">
        <f>0.1*(Horaires35673[[#This Row],[Heures de nuit]]+Horaires35673[[#This Row],[heures jour dimanche]]+Horaires35673[[#This Row],[heures jour fériés]])</f>
        <v>0</v>
      </c>
      <c r="J47" s="52">
        <f>(MOD(Horaires35673[[#This Row],[Fin]]-Horaires35673[[#This Row],[début]],1)-MOD(Horaires35673[[#This Row],[PNP Fin]]-Horaires35673[[#This Row],[PNP Début]],1))*24</f>
        <v>0</v>
      </c>
      <c r="K47" s="53">
        <f>IF(Horaires35673[[#This Row],[PNP Début]]=0,0,IF(Horaires35673[[#This Row],[PNP Début]]&lt;Horaires35673[[#This Row],[début]],1,0)+Horaires35673[[#This Row],[PNP Début]])</f>
        <v>0</v>
      </c>
      <c r="L47" s="54">
        <f>IF(Horaires35673[[#This Row],[PNP Fin]]=0,0,IF(Horaires35673[[#This Row],[PNP Fin]]&lt;Horaires35673[[#This Row],[début]],1,0)+Horaires35673[[#This Row],[PNP Fin]])</f>
        <v>0</v>
      </c>
      <c r="M47" s="54">
        <f>IF(Horaires35673[[#This Row],[Fin]]&lt;Horaires35673[[#This Row],[début]],1,0)+Horaires35673[[#This Row],[Fin]]</f>
        <v>0</v>
      </c>
      <c r="N47" s="35">
        <f>IF(Horaires35673[[#This Row],[Fin]]&lt;Horaires35673[[#This Row],[début]],MAX(0,MIN(Horaires35673[[#This Row],[Fin corrigée si nuit]],fin_nuit)-MAX(Horaires35673[[#This Row],[début]],deb_nuit))*24,(MAX(deb_nuit,Horaires35673[[#This Row],[Fin]])-MAX(deb_nuit,Horaires35673[[#This Row],[début]])+MAX(MIN(fin_nuit-1,Horaires35673[[#This Row],[Fin]])-MIN(fin_nuit-1,Horaires35673[[#This Row],[début]]),0))*24)</f>
        <v>0</v>
      </c>
      <c r="O47" s="55">
        <f>(MAX(0,MIN(Horaires35673[[#This Row],[Fin corrigée si nuit]],fin_nuit)-MAX(Horaires35673[[#This Row],[début]],deb_nuit))-IF(Horaires35673[[#This Row],[PNP Début]]=0,0,MIN(Horaires35673[[#This Row],[PNP Fin corrigée]],fin_nuit)-MAX(Horaires35673[[#This Row],[PNP Début corrigé]],deb_nuit)))*24</f>
        <v>0</v>
      </c>
      <c r="P47" s="55">
        <f>(IF(WEEKDAY(Horaires35673[[#This Row],[Date]],2)=7,MAX(0,MIN(fin_dimJF,Horaires35673[[#This Row],[Fin corrigée si nuit]])-MAX(deb_dimJF,Horaires35673[[#This Row],[début]])),0)+IF(WEEKDAY(Horaires35673[[#This Row],[Date]],2)=6,MAX(0,Horaires35673[[#This Row],[Fin corrigée si nuit]]-(1+deb_dimJF)),0))*24</f>
        <v>0</v>
      </c>
      <c r="Q47" s="55">
        <f>(IF(WEEKDAY(Horaires35673[[#This Row],[Date]],2)=7,MAX(0,MIN(fin_dimJF,Horaires35673[[#This Row],[Fin corrigée si nuit]])-MAX(deb_dimJF,Horaires35673[[#This Row],[début]])),0)+IF(WEEKDAY(Horaires35673[[#This Row],[Date]],2)=6,MAX(0,Horaires35673[[#This Row],[Fin corrigée si nuit]]-(1+deb_dimJF)),0))*24-
(IF(WEEKDAY(Horaires35673[[#This Row],[Date]],2)=7,MAX(0,MIN(fin_dimJF,Horaires35673[[#This Row],[PNP Fin corrigée]])-MAX(deb_dimJF,Horaires35673[[#This Row],[PNP Début corrigé]])),0)+IF(WEEKDAY(Horaires35673[[#This Row],[Date]],2)=6,MAX(0,Horaires35673[[#This Row],[PNP Fin corrigée]]-(1+deb_dimJF)),0))*24</f>
        <v>0</v>
      </c>
      <c r="R47" s="55">
        <f>(IF(COUNTIF(JF,Horaires35673[[#This Row],[Date]]),MAX(0,MIN(fin_dimJF,Horaires35673[[#This Row],[Fin corrigée si nuit]])-MAX(deb_dimJF,Horaires35673[[#This Row],[début]])),0)+IF(COUNTIF(JF,Horaires35673[[#This Row],[Date]]+1),MAX(0,Horaires35673[[#This Row],[Fin corrigée si nuit]]-(1+deb_dimJF)),0))*24</f>
        <v>0</v>
      </c>
      <c r="S47" s="55">
        <f>(IF(COUNTIF(JF,Horaires35673[[#This Row],[Date]]),MAX(0,MIN(fin_dimJF,Horaires35673[[#This Row],[Fin corrigée si nuit]])-MAX(deb_dimJF,Horaires35673[[#This Row],[début]])),0)+IF(COUNTIF(JF,Horaires35673[[#This Row],[Date]]+1),MAX(0,Horaires35673[[#This Row],[Fin corrigée si nuit]]-(1+deb_dimJF)),0))*24-
(IF(COUNTIF(JF,Horaires35673[[#This Row],[Date]]),MAX(0,MIN(fin_dimJF,Horaires35673[[#This Row],[PNP Fin corrigée]])-MAX(deb_dimJF,Horaires35673[[#This Row],[PNP Début corrigé]])),0)+IF(COUNTIF(JF,Horaires35673[[#This Row],[Date]]+1),MAX(0,Horaires35673[[#This Row],[PNP Fin corrigée]]-(1+deb_dimJF)),0))*24</f>
        <v>0</v>
      </c>
    </row>
    <row r="48" spans="1:19" x14ac:dyDescent="0.35">
      <c r="A48" s="5"/>
      <c r="B48" s="1"/>
      <c r="C48" s="2"/>
      <c r="D48" s="2"/>
      <c r="E48" s="3"/>
      <c r="F48" s="3"/>
      <c r="G48" s="3"/>
      <c r="H48" s="3"/>
      <c r="I48" s="51">
        <f>0.1*(Horaires35673[[#This Row],[Heures de nuit]]+Horaires35673[[#This Row],[heures jour dimanche]]+Horaires35673[[#This Row],[heures jour fériés]])</f>
        <v>0</v>
      </c>
      <c r="J48" s="52">
        <f>(MOD(Horaires35673[[#This Row],[Fin]]-Horaires35673[[#This Row],[début]],1)-MOD(Horaires35673[[#This Row],[PNP Fin]]-Horaires35673[[#This Row],[PNP Début]],1))*24</f>
        <v>0</v>
      </c>
      <c r="K48" s="53">
        <f>IF(Horaires35673[[#This Row],[PNP Début]]=0,0,IF(Horaires35673[[#This Row],[PNP Début]]&lt;Horaires35673[[#This Row],[début]],1,0)+Horaires35673[[#This Row],[PNP Début]])</f>
        <v>0</v>
      </c>
      <c r="L48" s="54">
        <f>IF(Horaires35673[[#This Row],[PNP Fin]]=0,0,IF(Horaires35673[[#This Row],[PNP Fin]]&lt;Horaires35673[[#This Row],[début]],1,0)+Horaires35673[[#This Row],[PNP Fin]])</f>
        <v>0</v>
      </c>
      <c r="M48" s="54">
        <f>IF(Horaires35673[[#This Row],[Fin]]&lt;Horaires35673[[#This Row],[début]],1,0)+Horaires35673[[#This Row],[Fin]]</f>
        <v>0</v>
      </c>
      <c r="N48" s="35">
        <f>IF(Horaires35673[[#This Row],[Fin]]&lt;Horaires35673[[#This Row],[début]],MAX(0,MIN(Horaires35673[[#This Row],[Fin corrigée si nuit]],fin_nuit)-MAX(Horaires35673[[#This Row],[début]],deb_nuit))*24,(MAX(deb_nuit,Horaires35673[[#This Row],[Fin]])-MAX(deb_nuit,Horaires35673[[#This Row],[début]])+MAX(MIN(fin_nuit-1,Horaires35673[[#This Row],[Fin]])-MIN(fin_nuit-1,Horaires35673[[#This Row],[début]]),0))*24)</f>
        <v>0</v>
      </c>
      <c r="O48" s="55">
        <f>(MAX(0,MIN(Horaires35673[[#This Row],[Fin corrigée si nuit]],fin_nuit)-MAX(Horaires35673[[#This Row],[début]],deb_nuit))-IF(Horaires35673[[#This Row],[PNP Début]]=0,0,MIN(Horaires35673[[#This Row],[PNP Fin corrigée]],fin_nuit)-MAX(Horaires35673[[#This Row],[PNP Début corrigé]],deb_nuit)))*24</f>
        <v>0</v>
      </c>
      <c r="P48" s="55">
        <f>(IF(WEEKDAY(Horaires35673[[#This Row],[Date]],2)=7,MAX(0,MIN(fin_dimJF,Horaires35673[[#This Row],[Fin corrigée si nuit]])-MAX(deb_dimJF,Horaires35673[[#This Row],[début]])),0)+IF(WEEKDAY(Horaires35673[[#This Row],[Date]],2)=6,MAX(0,Horaires35673[[#This Row],[Fin corrigée si nuit]]-(1+deb_dimJF)),0))*24</f>
        <v>0</v>
      </c>
      <c r="Q48" s="55">
        <f>(IF(WEEKDAY(Horaires35673[[#This Row],[Date]],2)=7,MAX(0,MIN(fin_dimJF,Horaires35673[[#This Row],[Fin corrigée si nuit]])-MAX(deb_dimJF,Horaires35673[[#This Row],[début]])),0)+IF(WEEKDAY(Horaires35673[[#This Row],[Date]],2)=6,MAX(0,Horaires35673[[#This Row],[Fin corrigée si nuit]]-(1+deb_dimJF)),0))*24-
(IF(WEEKDAY(Horaires35673[[#This Row],[Date]],2)=7,MAX(0,MIN(fin_dimJF,Horaires35673[[#This Row],[PNP Fin corrigée]])-MAX(deb_dimJF,Horaires35673[[#This Row],[PNP Début corrigé]])),0)+IF(WEEKDAY(Horaires35673[[#This Row],[Date]],2)=6,MAX(0,Horaires35673[[#This Row],[PNP Fin corrigée]]-(1+deb_dimJF)),0))*24</f>
        <v>0</v>
      </c>
      <c r="R48" s="55">
        <f>(IF(COUNTIF(JF,Horaires35673[[#This Row],[Date]]),MAX(0,MIN(fin_dimJF,Horaires35673[[#This Row],[Fin corrigée si nuit]])-MAX(deb_dimJF,Horaires35673[[#This Row],[début]])),0)+IF(COUNTIF(JF,Horaires35673[[#This Row],[Date]]+1),MAX(0,Horaires35673[[#This Row],[Fin corrigée si nuit]]-(1+deb_dimJF)),0))*24</f>
        <v>0</v>
      </c>
      <c r="S48" s="55">
        <f>(IF(COUNTIF(JF,Horaires35673[[#This Row],[Date]]),MAX(0,MIN(fin_dimJF,Horaires35673[[#This Row],[Fin corrigée si nuit]])-MAX(deb_dimJF,Horaires35673[[#This Row],[début]])),0)+IF(COUNTIF(JF,Horaires35673[[#This Row],[Date]]+1),MAX(0,Horaires35673[[#This Row],[Fin corrigée si nuit]]-(1+deb_dimJF)),0))*24-
(IF(COUNTIF(JF,Horaires35673[[#This Row],[Date]]),MAX(0,MIN(fin_dimJF,Horaires35673[[#This Row],[PNP Fin corrigée]])-MAX(deb_dimJF,Horaires35673[[#This Row],[PNP Début corrigé]])),0)+IF(COUNTIF(JF,Horaires35673[[#This Row],[Date]]+1),MAX(0,Horaires35673[[#This Row],[PNP Fin corrigée]]-(1+deb_dimJF)),0))*24</f>
        <v>0</v>
      </c>
    </row>
    <row r="49" spans="1:19" ht="15" thickBot="1" x14ac:dyDescent="0.4">
      <c r="A49" s="5"/>
      <c r="B49" s="1"/>
      <c r="C49" s="2"/>
      <c r="D49" s="2"/>
      <c r="E49" s="3"/>
      <c r="F49" s="3"/>
      <c r="G49" s="3"/>
      <c r="H49" s="3"/>
      <c r="I49" s="51">
        <f>0.1*(Horaires35673[[#This Row],[Heures de nuit]]+Horaires35673[[#This Row],[heures jour dimanche]]+Horaires35673[[#This Row],[heures jour fériés]])</f>
        <v>0</v>
      </c>
      <c r="J49" s="52">
        <f>(MOD(Horaires35673[[#This Row],[Fin]]-Horaires35673[[#This Row],[début]],1)-MOD(Horaires35673[[#This Row],[PNP Fin]]-Horaires35673[[#This Row],[PNP Début]],1))*24</f>
        <v>0</v>
      </c>
      <c r="K49" s="53">
        <f>IF(Horaires35673[[#This Row],[PNP Début]]=0,0,IF(Horaires35673[[#This Row],[PNP Début]]&lt;Horaires35673[[#This Row],[début]],1,0)+Horaires35673[[#This Row],[PNP Début]])</f>
        <v>0</v>
      </c>
      <c r="L49" s="54">
        <f>IF(Horaires35673[[#This Row],[PNP Fin]]=0,0,IF(Horaires35673[[#This Row],[PNP Fin]]&lt;Horaires35673[[#This Row],[début]],1,0)+Horaires35673[[#This Row],[PNP Fin]])</f>
        <v>0</v>
      </c>
      <c r="M49" s="54">
        <f>IF(Horaires35673[[#This Row],[Fin]]&lt;Horaires35673[[#This Row],[début]],1,0)+Horaires35673[[#This Row],[Fin]]</f>
        <v>0</v>
      </c>
      <c r="N49" s="35">
        <f>IF(Horaires35673[[#This Row],[Fin]]&lt;Horaires35673[[#This Row],[début]],MAX(0,MIN(Horaires35673[[#This Row],[Fin corrigée si nuit]],fin_nuit)-MAX(Horaires35673[[#This Row],[début]],deb_nuit))*24,(MAX(deb_nuit,Horaires35673[[#This Row],[Fin]])-MAX(deb_nuit,Horaires35673[[#This Row],[début]])+MAX(MIN(fin_nuit-1,Horaires35673[[#This Row],[Fin]])-MIN(fin_nuit-1,Horaires35673[[#This Row],[début]]),0))*24)</f>
        <v>0</v>
      </c>
      <c r="O49" s="55">
        <f>(MAX(0,MIN(Horaires35673[[#This Row],[Fin corrigée si nuit]],fin_nuit)-MAX(Horaires35673[[#This Row],[début]],deb_nuit))-IF(Horaires35673[[#This Row],[PNP Début]]=0,0,MIN(Horaires35673[[#This Row],[PNP Fin corrigée]],fin_nuit)-MAX(Horaires35673[[#This Row],[PNP Début corrigé]],deb_nuit)))*24</f>
        <v>0</v>
      </c>
      <c r="P49" s="55">
        <f>(IF(WEEKDAY(Horaires35673[[#This Row],[Date]],2)=7,MAX(0,MIN(fin_dimJF,Horaires35673[[#This Row],[Fin corrigée si nuit]])-MAX(deb_dimJF,Horaires35673[[#This Row],[début]])),0)+IF(WEEKDAY(Horaires35673[[#This Row],[Date]],2)=6,MAX(0,Horaires35673[[#This Row],[Fin corrigée si nuit]]-(1+deb_dimJF)),0))*24</f>
        <v>0</v>
      </c>
      <c r="Q49" s="55">
        <f>(IF(WEEKDAY(Horaires35673[[#This Row],[Date]],2)=7,MAX(0,MIN(fin_dimJF,Horaires35673[[#This Row],[Fin corrigée si nuit]])-MAX(deb_dimJF,Horaires35673[[#This Row],[début]])),0)+IF(WEEKDAY(Horaires35673[[#This Row],[Date]],2)=6,MAX(0,Horaires35673[[#This Row],[Fin corrigée si nuit]]-(1+deb_dimJF)),0))*24-
(IF(WEEKDAY(Horaires35673[[#This Row],[Date]],2)=7,MAX(0,MIN(fin_dimJF,Horaires35673[[#This Row],[PNP Fin corrigée]])-MAX(deb_dimJF,Horaires35673[[#This Row],[PNP Début corrigé]])),0)+IF(WEEKDAY(Horaires35673[[#This Row],[Date]],2)=6,MAX(0,Horaires35673[[#This Row],[PNP Fin corrigée]]-(1+deb_dimJF)),0))*24</f>
        <v>0</v>
      </c>
      <c r="R49" s="55">
        <f>(IF(COUNTIF(JF,Horaires35673[[#This Row],[Date]]),MAX(0,MIN(fin_dimJF,Horaires35673[[#This Row],[Fin corrigée si nuit]])-MAX(deb_dimJF,Horaires35673[[#This Row],[début]])),0)+IF(COUNTIF(JF,Horaires35673[[#This Row],[Date]]+1),MAX(0,Horaires35673[[#This Row],[Fin corrigée si nuit]]-(1+deb_dimJF)),0))*24</f>
        <v>0</v>
      </c>
      <c r="S49" s="55">
        <f>(IF(COUNTIF(JF,Horaires35673[[#This Row],[Date]]),MAX(0,MIN(fin_dimJF,Horaires35673[[#This Row],[Fin corrigée si nuit]])-MAX(deb_dimJF,Horaires35673[[#This Row],[début]])),0)+IF(COUNTIF(JF,Horaires35673[[#This Row],[Date]]+1),MAX(0,Horaires35673[[#This Row],[Fin corrigée si nuit]]-(1+deb_dimJF)),0))*24-
(IF(COUNTIF(JF,Horaires35673[[#This Row],[Date]]),MAX(0,MIN(fin_dimJF,Horaires35673[[#This Row],[PNP Fin corrigée]])-MAX(deb_dimJF,Horaires35673[[#This Row],[PNP Début corrigé]])),0)+IF(COUNTIF(JF,Horaires35673[[#This Row],[Date]]+1),MAX(0,Horaires35673[[#This Row],[PNP Fin corrigée]]-(1+deb_dimJF)),0))*24</f>
        <v>0</v>
      </c>
    </row>
    <row r="50" spans="1:19" ht="16" thickBot="1" x14ac:dyDescent="0.4">
      <c r="A50" s="56"/>
      <c r="B50" s="19"/>
      <c r="C50" s="19"/>
      <c r="D50" s="19"/>
      <c r="E50" s="113" t="s">
        <v>29</v>
      </c>
      <c r="F50" s="114"/>
      <c r="G50" s="114"/>
      <c r="H50" s="115"/>
      <c r="I50" s="57">
        <f>SUM(Horaires35673[Majoration])</f>
        <v>0</v>
      </c>
      <c r="J50" s="58">
        <f>SUM(Horaires35673[Heures totales payées])</f>
        <v>0</v>
      </c>
      <c r="K50" s="19"/>
      <c r="L50" s="19"/>
      <c r="M50" s="19"/>
      <c r="N50" s="19"/>
      <c r="O50" s="19"/>
      <c r="P50" s="19"/>
      <c r="Q50" s="19"/>
      <c r="R50" s="19"/>
      <c r="S50" s="19"/>
    </row>
    <row r="51" spans="1:19" ht="17.399999999999999" customHeight="1" x14ac:dyDescent="0.35">
      <c r="A51" s="116" t="s">
        <v>30</v>
      </c>
      <c r="B51" s="116"/>
      <c r="C51" s="116"/>
      <c r="D51" s="116"/>
      <c r="E51" s="19"/>
      <c r="F51" s="19"/>
      <c r="G51" s="117" t="s">
        <v>31</v>
      </c>
      <c r="H51" s="117"/>
      <c r="I51" s="117"/>
      <c r="J51" s="117"/>
      <c r="K51" s="19"/>
      <c r="L51" s="19"/>
      <c r="M51" s="19"/>
      <c r="N51" s="19"/>
      <c r="O51" s="19"/>
      <c r="P51" s="19"/>
      <c r="Q51" s="19"/>
      <c r="R51" s="19"/>
      <c r="S51" s="19"/>
    </row>
    <row r="52" spans="1:19" x14ac:dyDescent="0.35">
      <c r="A52" s="118"/>
      <c r="B52" s="119"/>
      <c r="C52" s="119"/>
      <c r="D52" s="120"/>
      <c r="E52" s="56"/>
      <c r="F52" s="19"/>
      <c r="G52" s="118"/>
      <c r="H52" s="119"/>
      <c r="I52" s="119"/>
      <c r="J52" s="119"/>
      <c r="K52" s="19"/>
      <c r="L52" s="19"/>
      <c r="M52" s="19"/>
      <c r="N52" s="19"/>
      <c r="O52" s="19"/>
      <c r="P52" s="19"/>
      <c r="Q52" s="19"/>
      <c r="R52" s="19"/>
      <c r="S52" s="19"/>
    </row>
    <row r="53" spans="1:19" x14ac:dyDescent="0.35">
      <c r="A53" s="121"/>
      <c r="B53" s="122"/>
      <c r="C53" s="122"/>
      <c r="D53" s="123"/>
      <c r="E53" s="19"/>
      <c r="F53" s="19"/>
      <c r="G53" s="121"/>
      <c r="H53" s="122"/>
      <c r="I53" s="122"/>
      <c r="J53" s="122"/>
      <c r="K53" s="19"/>
      <c r="L53" s="19"/>
      <c r="M53" s="19"/>
      <c r="N53" s="19"/>
      <c r="O53" s="19"/>
      <c r="P53" s="19"/>
      <c r="Q53" s="19"/>
      <c r="R53" s="19"/>
      <c r="S53" s="19"/>
    </row>
    <row r="54" spans="1:19" ht="7.75" customHeight="1" x14ac:dyDescent="0.35">
      <c r="A54" s="124"/>
      <c r="B54" s="125"/>
      <c r="C54" s="125"/>
      <c r="D54" s="126"/>
      <c r="E54" s="56"/>
      <c r="F54" s="19"/>
      <c r="G54" s="124"/>
      <c r="H54" s="125"/>
      <c r="I54" s="125"/>
      <c r="J54" s="125"/>
      <c r="K54" s="19"/>
      <c r="L54" s="19"/>
      <c r="M54" s="19"/>
      <c r="N54" s="19"/>
      <c r="O54" s="19"/>
      <c r="P54" s="19"/>
      <c r="Q54" s="19"/>
      <c r="R54" s="19"/>
      <c r="S54" s="19"/>
    </row>
    <row r="55" spans="1:19" x14ac:dyDescent="0.35">
      <c r="A55" s="56"/>
      <c r="B55" s="19"/>
      <c r="C55" s="19"/>
      <c r="D55" s="19"/>
      <c r="E55" s="19"/>
      <c r="F55" s="19"/>
      <c r="G55" s="19"/>
      <c r="H55" s="19"/>
      <c r="I55" s="19"/>
      <c r="J55" s="62"/>
      <c r="K55" s="19"/>
      <c r="L55" s="19"/>
      <c r="M55" s="19"/>
      <c r="N55" s="19"/>
      <c r="O55" s="19"/>
      <c r="P55" s="19"/>
      <c r="Q55" s="19"/>
      <c r="R55" s="19"/>
      <c r="S55" s="19"/>
    </row>
    <row r="56" spans="1:19" x14ac:dyDescent="0.35">
      <c r="A56" s="19"/>
      <c r="B56" s="19"/>
      <c r="C56" s="19"/>
      <c r="D56" s="19"/>
      <c r="E56" s="19"/>
      <c r="F56" s="19"/>
      <c r="G56" s="19"/>
      <c r="H56" s="19"/>
      <c r="I56" s="19"/>
      <c r="J56" s="20"/>
      <c r="K56" s="19"/>
      <c r="L56" s="19"/>
      <c r="M56" s="19"/>
      <c r="N56" s="19"/>
      <c r="O56" s="19"/>
      <c r="P56" s="19"/>
      <c r="Q56" s="19"/>
      <c r="R56" s="19"/>
      <c r="S56" s="19"/>
    </row>
    <row r="57" spans="1:19" x14ac:dyDescent="0.35">
      <c r="A57" s="19"/>
      <c r="B57" s="19"/>
      <c r="C57" s="19"/>
      <c r="D57" s="19"/>
      <c r="E57" s="19"/>
      <c r="F57" s="19"/>
      <c r="G57" s="19"/>
      <c r="H57" s="19"/>
      <c r="I57" s="19"/>
      <c r="J57" s="20"/>
      <c r="K57" s="19"/>
      <c r="L57" s="19"/>
      <c r="M57" s="19"/>
      <c r="N57" s="19"/>
      <c r="O57" s="19"/>
      <c r="P57" s="19"/>
      <c r="Q57" s="19"/>
      <c r="R57" s="19"/>
      <c r="S57" s="19"/>
    </row>
    <row r="58" spans="1:19" x14ac:dyDescent="0.35">
      <c r="A58" s="19"/>
      <c r="B58" s="19"/>
      <c r="C58" s="19"/>
      <c r="D58" s="19"/>
      <c r="E58" s="19"/>
      <c r="F58" s="19"/>
      <c r="G58" s="19"/>
      <c r="H58" s="19"/>
      <c r="I58" s="19"/>
      <c r="J58" s="20"/>
      <c r="K58" s="19"/>
      <c r="L58" s="19"/>
      <c r="M58" s="19"/>
      <c r="N58" s="19"/>
      <c r="O58" s="19"/>
      <c r="P58" s="19"/>
      <c r="Q58" s="19"/>
      <c r="R58" s="19"/>
      <c r="S58" s="19"/>
    </row>
    <row r="59" spans="1:19" x14ac:dyDescent="0.35">
      <c r="A59" s="19"/>
      <c r="B59" s="19"/>
      <c r="C59" s="19"/>
      <c r="D59" s="19"/>
      <c r="E59" s="19"/>
      <c r="F59" s="19"/>
      <c r="G59" s="19"/>
      <c r="H59" s="19"/>
      <c r="I59" s="19"/>
      <c r="J59" s="20"/>
      <c r="K59" s="19"/>
      <c r="L59" s="19"/>
      <c r="M59" s="19"/>
      <c r="N59" s="19"/>
      <c r="O59" s="19"/>
      <c r="P59" s="19"/>
      <c r="Q59" s="19"/>
      <c r="R59" s="19"/>
      <c r="S59" s="19"/>
    </row>
    <row r="60" spans="1:19" x14ac:dyDescent="0.35">
      <c r="A60" s="19"/>
      <c r="B60" s="19"/>
      <c r="C60" s="19"/>
      <c r="D60" s="19"/>
      <c r="E60" s="19"/>
      <c r="F60" s="19"/>
      <c r="G60" s="19"/>
      <c r="H60" s="19"/>
      <c r="I60" s="19"/>
      <c r="J60" s="20"/>
      <c r="K60" s="19"/>
      <c r="L60" s="19"/>
      <c r="M60" s="19"/>
      <c r="N60" s="19"/>
      <c r="O60" s="19"/>
      <c r="P60" s="19"/>
      <c r="Q60" s="19"/>
      <c r="R60" s="19"/>
      <c r="S60" s="19"/>
    </row>
  </sheetData>
  <sheetProtection selectLockedCells="1"/>
  <mergeCells count="19">
    <mergeCell ref="E50:H50"/>
    <mergeCell ref="A51:D51"/>
    <mergeCell ref="G51:J51"/>
    <mergeCell ref="A52:D54"/>
    <mergeCell ref="G52:J54"/>
    <mergeCell ref="A1:B2"/>
    <mergeCell ref="A3:J4"/>
    <mergeCell ref="D5:F5"/>
    <mergeCell ref="G5:H5"/>
    <mergeCell ref="J9:J11"/>
    <mergeCell ref="C10:C11"/>
    <mergeCell ref="D10:D11"/>
    <mergeCell ref="E10:F10"/>
    <mergeCell ref="G10:H10"/>
    <mergeCell ref="A9:A11"/>
    <mergeCell ref="B9:B11"/>
    <mergeCell ref="C9:D9"/>
    <mergeCell ref="E9:H9"/>
    <mergeCell ref="I9:I11"/>
  </mergeCells>
  <dataValidations count="3">
    <dataValidation allowBlank="1" showInputMessage="1" showErrorMessage="1" error="Tapez les heures sous le format_x000a_00:00" sqref="K12:N49"/>
    <dataValidation type="time" allowBlank="1" showInputMessage="1" showErrorMessage="1" error="Tapez les heures sous le format_x000a_00:00" sqref="C13:H49">
      <formula1>0</formula1>
      <formula2>0.999305555555556</formula2>
    </dataValidation>
    <dataValidation type="date" operator="greaterThan" allowBlank="1" showInputMessage="1" showErrorMessage="1" error="Tapez le mois sous le format suivant_x000a_09/17" promptTitle="Mois du relevé" sqref="J5">
      <formula1>42736</formula1>
    </dataValidation>
  </dataValidations>
  <printOptions horizontalCentered="1"/>
  <pageMargins left="0" right="0" top="0" bottom="0" header="0" footer="0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6145" r:id="rId4" name="CommandButton1">
          <controlPr defaultSize="0" print="0" autoLine="0" r:id="rId5">
            <anchor moveWithCells="1">
              <from>
                <xdr:col>9</xdr:col>
                <xdr:colOff>787400</xdr:colOff>
                <xdr:row>0</xdr:row>
                <xdr:rowOff>158750</xdr:rowOff>
              </from>
              <to>
                <xdr:col>20</xdr:col>
                <xdr:colOff>12700</xdr:colOff>
                <xdr:row>4</xdr:row>
                <xdr:rowOff>44450</xdr:rowOff>
              </to>
            </anchor>
          </controlPr>
        </control>
      </mc:Choice>
      <mc:Fallback>
        <control shapeId="6145" r:id="rId4" name="CommandButton1"/>
      </mc:Fallback>
    </mc:AlternateContent>
  </controls>
  <tableParts count="1">
    <tablePart r:id="rId6"/>
  </tableParts>
</worksheet>
</file>

<file path=xl/worksheets/sheet7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7"/>
  <dimension ref="A1:S60"/>
  <sheetViews>
    <sheetView workbookViewId="0">
      <selection activeCell="T7" sqref="T7"/>
    </sheetView>
  </sheetViews>
  <sheetFormatPr baseColWidth="10" defaultRowHeight="14.5" x14ac:dyDescent="0.35"/>
  <cols>
    <col min="1" max="1" width="19.90625" customWidth="1"/>
    <col min="2" max="2" width="12.90625" customWidth="1"/>
    <col min="3" max="3" width="8.90625" customWidth="1"/>
    <col min="4" max="4" width="7.453125" customWidth="1"/>
    <col min="5" max="5" width="7" customWidth="1"/>
    <col min="6" max="6" width="6.81640625" customWidth="1"/>
    <col min="7" max="7" width="7" customWidth="1"/>
    <col min="8" max="8" width="7.81640625" customWidth="1"/>
    <col min="9" max="9" width="10.81640625" customWidth="1"/>
    <col min="10" max="10" width="11.54296875" style="15" customWidth="1"/>
    <col min="11" max="11" width="14.453125" hidden="1" customWidth="1"/>
    <col min="12" max="12" width="12.08984375" hidden="1" customWidth="1"/>
    <col min="13" max="13" width="15" hidden="1" customWidth="1"/>
    <col min="14" max="15" width="13.81640625" hidden="1" customWidth="1"/>
    <col min="16" max="19" width="15" hidden="1" customWidth="1"/>
  </cols>
  <sheetData>
    <row r="1" spans="1:19" ht="15.65" customHeight="1" x14ac:dyDescent="0.35">
      <c r="A1" s="101"/>
      <c r="B1" s="101"/>
      <c r="C1" s="16"/>
      <c r="D1" s="16"/>
      <c r="E1" s="17"/>
      <c r="F1" s="17"/>
      <c r="G1" s="17"/>
      <c r="H1" s="18" t="s">
        <v>35</v>
      </c>
      <c r="I1" s="18"/>
      <c r="J1" s="18"/>
      <c r="K1" s="16"/>
      <c r="L1" s="16"/>
      <c r="M1" s="16"/>
      <c r="N1" s="16"/>
      <c r="O1" s="19"/>
      <c r="P1" s="19"/>
      <c r="Q1" s="19"/>
      <c r="R1" s="19"/>
      <c r="S1" s="19"/>
    </row>
    <row r="2" spans="1:19" ht="14.4" customHeight="1" x14ac:dyDescent="0.35">
      <c r="A2" s="101"/>
      <c r="B2" s="101"/>
      <c r="C2" s="16"/>
      <c r="D2" s="16"/>
      <c r="E2" s="16"/>
      <c r="F2" s="16"/>
      <c r="G2" s="16"/>
      <c r="H2" s="16"/>
      <c r="I2" s="16"/>
      <c r="J2" s="20"/>
      <c r="K2" s="16"/>
      <c r="L2" s="16"/>
      <c r="M2" s="16"/>
      <c r="N2" s="16"/>
      <c r="O2" s="19"/>
      <c r="P2" s="19"/>
      <c r="Q2" s="19"/>
      <c r="R2" s="19"/>
      <c r="S2" s="19"/>
    </row>
    <row r="3" spans="1:19" ht="14.4" customHeight="1" x14ac:dyDescent="0.35">
      <c r="A3" s="102" t="s">
        <v>37</v>
      </c>
      <c r="B3" s="102"/>
      <c r="C3" s="102"/>
      <c r="D3" s="102"/>
      <c r="E3" s="102"/>
      <c r="F3" s="102"/>
      <c r="G3" s="102"/>
      <c r="H3" s="102"/>
      <c r="I3" s="102"/>
      <c r="J3" s="102"/>
      <c r="K3" s="16"/>
      <c r="L3" s="16"/>
      <c r="M3" s="16"/>
      <c r="N3" s="16"/>
      <c r="O3" s="19"/>
      <c r="P3" s="19"/>
      <c r="Q3" s="19"/>
      <c r="R3" s="19"/>
      <c r="S3" s="19"/>
    </row>
    <row r="4" spans="1:19" ht="19.25" customHeight="1" thickBot="1" x14ac:dyDescent="0.4">
      <c r="A4" s="103"/>
      <c r="B4" s="103"/>
      <c r="C4" s="103"/>
      <c r="D4" s="103"/>
      <c r="E4" s="103"/>
      <c r="F4" s="103"/>
      <c r="G4" s="103"/>
      <c r="H4" s="103"/>
      <c r="I4" s="103"/>
      <c r="J4" s="103"/>
      <c r="K4" s="19"/>
      <c r="L4" s="19"/>
      <c r="M4" s="19"/>
      <c r="N4" s="19"/>
      <c r="O4" s="19"/>
      <c r="P4" s="19"/>
      <c r="Q4" s="19"/>
      <c r="R4" s="19"/>
      <c r="S4" s="19"/>
    </row>
    <row r="5" spans="1:19" ht="19.75" customHeight="1" x14ac:dyDescent="0.35">
      <c r="A5" s="95" t="s">
        <v>113</v>
      </c>
      <c r="B5" s="96">
        <f>'Janvier 18'!B5</f>
        <v>0</v>
      </c>
      <c r="C5" s="21" t="s">
        <v>36</v>
      </c>
      <c r="D5" s="104">
        <f>'Janvier 18'!D5:F5</f>
        <v>0</v>
      </c>
      <c r="E5" s="105"/>
      <c r="F5" s="105"/>
      <c r="G5" s="106" t="s">
        <v>22</v>
      </c>
      <c r="H5" s="106"/>
      <c r="I5" s="64" t="str">
        <f ca="1">MID(CELL("filename",A1),FIND("]",CELL("filename",A1))+1,99)</f>
        <v>Avril 18</v>
      </c>
      <c r="J5" s="97"/>
      <c r="K5" s="19"/>
      <c r="L5" s="19"/>
      <c r="M5" s="19"/>
      <c r="N5" s="19"/>
      <c r="O5" s="19"/>
      <c r="P5" s="19"/>
      <c r="Q5" s="19"/>
      <c r="R5" s="19"/>
      <c r="S5" s="19"/>
    </row>
    <row r="6" spans="1:19" ht="9.65" customHeight="1" x14ac:dyDescent="0.35">
      <c r="A6" s="22"/>
      <c r="B6" s="23"/>
      <c r="C6" s="23"/>
      <c r="D6" s="23"/>
      <c r="E6" s="23"/>
      <c r="F6" s="23"/>
      <c r="G6" s="23"/>
      <c r="H6" s="23"/>
      <c r="I6" s="23"/>
      <c r="J6" s="24"/>
      <c r="K6" s="19"/>
      <c r="L6" s="19"/>
      <c r="M6" s="19"/>
      <c r="N6" s="19"/>
      <c r="O6" s="19"/>
      <c r="P6" s="19"/>
      <c r="Q6" s="19"/>
      <c r="R6" s="19"/>
      <c r="S6" s="19"/>
    </row>
    <row r="7" spans="1:19" ht="15" thickBot="1" x14ac:dyDescent="0.4">
      <c r="A7" s="59" t="s">
        <v>23</v>
      </c>
      <c r="B7" s="98">
        <f>'Janvier 18'!B7</f>
        <v>0</v>
      </c>
      <c r="C7" s="25" t="s">
        <v>24</v>
      </c>
      <c r="D7" s="25"/>
      <c r="E7" s="98">
        <f>'Janvier 18'!E7</f>
        <v>0</v>
      </c>
      <c r="F7" s="25"/>
      <c r="G7" s="25"/>
      <c r="H7" s="25"/>
      <c r="I7" s="25"/>
      <c r="J7" s="26"/>
      <c r="K7" s="19"/>
      <c r="L7" s="19"/>
      <c r="M7" s="19"/>
      <c r="N7" s="19"/>
      <c r="O7" s="19"/>
      <c r="P7" s="19"/>
      <c r="Q7" s="19"/>
      <c r="R7" s="19"/>
      <c r="S7" s="19"/>
    </row>
    <row r="8" spans="1:19" ht="9.65" customHeight="1" x14ac:dyDescent="0.35">
      <c r="A8" s="19"/>
      <c r="B8" s="19"/>
      <c r="C8" s="19"/>
      <c r="D8" s="19"/>
      <c r="E8" s="19"/>
      <c r="F8" s="19"/>
      <c r="G8" s="19"/>
      <c r="H8" s="19"/>
      <c r="I8" s="19"/>
      <c r="J8" s="20"/>
      <c r="K8" s="19"/>
      <c r="L8" s="19"/>
      <c r="M8" s="19"/>
      <c r="N8" s="19"/>
      <c r="O8" s="19"/>
      <c r="P8" s="19"/>
      <c r="Q8" s="19"/>
      <c r="R8" s="19"/>
      <c r="S8" s="19"/>
    </row>
    <row r="9" spans="1:19" ht="16.75" customHeight="1" x14ac:dyDescent="0.35">
      <c r="A9" s="111" t="s">
        <v>0</v>
      </c>
      <c r="B9" s="111" t="s">
        <v>1</v>
      </c>
      <c r="C9" s="111" t="s">
        <v>2</v>
      </c>
      <c r="D9" s="111"/>
      <c r="E9" s="110" t="s">
        <v>25</v>
      </c>
      <c r="F9" s="110"/>
      <c r="G9" s="110"/>
      <c r="H9" s="110"/>
      <c r="I9" s="112" t="s">
        <v>21</v>
      </c>
      <c r="J9" s="108" t="s">
        <v>65</v>
      </c>
      <c r="K9" s="19"/>
      <c r="L9" s="19"/>
      <c r="M9" s="19"/>
      <c r="N9" s="19"/>
      <c r="O9" s="19"/>
      <c r="P9" s="19"/>
      <c r="Q9" s="19"/>
      <c r="R9" s="19"/>
      <c r="S9" s="19"/>
    </row>
    <row r="10" spans="1:19" x14ac:dyDescent="0.35">
      <c r="A10" s="111"/>
      <c r="B10" s="111"/>
      <c r="C10" s="109" t="s">
        <v>3</v>
      </c>
      <c r="D10" s="109" t="s">
        <v>4</v>
      </c>
      <c r="E10" s="110" t="s">
        <v>26</v>
      </c>
      <c r="F10" s="110"/>
      <c r="G10" s="110" t="s">
        <v>27</v>
      </c>
      <c r="H10" s="110"/>
      <c r="I10" s="112"/>
      <c r="J10" s="108"/>
      <c r="K10" s="19"/>
      <c r="L10" s="19"/>
      <c r="M10" s="19"/>
      <c r="N10" s="19"/>
      <c r="O10" s="19"/>
      <c r="P10" s="19"/>
      <c r="Q10" s="19"/>
      <c r="R10" s="19"/>
      <c r="S10" s="19"/>
    </row>
    <row r="11" spans="1:19" x14ac:dyDescent="0.35">
      <c r="A11" s="111"/>
      <c r="B11" s="111"/>
      <c r="C11" s="109"/>
      <c r="D11" s="109"/>
      <c r="E11" s="72" t="s">
        <v>28</v>
      </c>
      <c r="F11" s="72" t="s">
        <v>4</v>
      </c>
      <c r="G11" s="72" t="s">
        <v>28</v>
      </c>
      <c r="H11" s="72" t="s">
        <v>4</v>
      </c>
      <c r="I11" s="112"/>
      <c r="J11" s="108"/>
      <c r="K11" s="27"/>
      <c r="L11" s="19"/>
      <c r="M11" s="19"/>
      <c r="N11" s="19"/>
      <c r="O11" s="19"/>
      <c r="P11" s="19"/>
      <c r="Q11" s="19"/>
      <c r="R11" s="19"/>
      <c r="S11" s="19"/>
    </row>
    <row r="12" spans="1:19" s="8" customFormat="1" ht="43.5" hidden="1" x14ac:dyDescent="0.35">
      <c r="A12" s="28" t="s">
        <v>0</v>
      </c>
      <c r="B12" s="29" t="s">
        <v>1</v>
      </c>
      <c r="C12" s="29" t="s">
        <v>3</v>
      </c>
      <c r="D12" s="29" t="s">
        <v>4</v>
      </c>
      <c r="E12" s="29" t="s">
        <v>8</v>
      </c>
      <c r="F12" s="29" t="s">
        <v>9</v>
      </c>
      <c r="G12" s="29" t="s">
        <v>10</v>
      </c>
      <c r="H12" s="29" t="s">
        <v>11</v>
      </c>
      <c r="I12" s="30" t="s">
        <v>21</v>
      </c>
      <c r="J12" s="29" t="s">
        <v>12</v>
      </c>
      <c r="K12" s="29" t="s">
        <v>18</v>
      </c>
      <c r="L12" s="29" t="s">
        <v>19</v>
      </c>
      <c r="M12" s="29" t="s">
        <v>17</v>
      </c>
      <c r="N12" s="29" t="s">
        <v>32</v>
      </c>
      <c r="O12" s="29" t="s">
        <v>20</v>
      </c>
      <c r="P12" s="29" t="s">
        <v>5</v>
      </c>
      <c r="Q12" s="29" t="s">
        <v>33</v>
      </c>
      <c r="R12" s="31" t="s">
        <v>6</v>
      </c>
      <c r="S12" s="31" t="s">
        <v>34</v>
      </c>
    </row>
    <row r="13" spans="1:19" x14ac:dyDescent="0.35">
      <c r="A13" s="5"/>
      <c r="B13" s="1"/>
      <c r="C13" s="2"/>
      <c r="D13" s="2"/>
      <c r="E13" s="3"/>
      <c r="F13" s="3"/>
      <c r="G13" s="3"/>
      <c r="H13" s="3"/>
      <c r="I13" s="32">
        <f>0.1*(Horaires356734[[#This Row],[Heures de nuit]]+Horaires356734[[#This Row],[heures jour dimanche]]+Horaires356734[[#This Row],[heures jour fériés]])</f>
        <v>0</v>
      </c>
      <c r="J13" s="33">
        <f>(MOD(Horaires356734[[#This Row],[Fin]]-Horaires356734[[#This Row],[début]],1)-MOD(Horaires356734[[#This Row],[PNP Fin]]-Horaires356734[[#This Row],[PNP Début]],1))*24</f>
        <v>0</v>
      </c>
      <c r="K13" s="34">
        <f>IF(Horaires356734[[#This Row],[PNP Début]]=0,0,IF(Horaires356734[[#This Row],[PNP Début]]&lt;Horaires356734[[#This Row],[début]],1,0)+Horaires356734[[#This Row],[PNP Début]])</f>
        <v>0</v>
      </c>
      <c r="L13" s="34">
        <f>IF(Horaires356734[[#This Row],[PNP Fin]]=0,0,IF(Horaires356734[[#This Row],[PNP Fin]]&lt;Horaires356734[[#This Row],[début]],1,0)+Horaires356734[[#This Row],[PNP Fin]])</f>
        <v>0</v>
      </c>
      <c r="M13" s="34">
        <f>IF(Horaires356734[[#This Row],[Fin]]&lt;Horaires356734[[#This Row],[début]],1,0)+Horaires356734[[#This Row],[Fin]]</f>
        <v>0</v>
      </c>
      <c r="N13" s="35">
        <f>IF(Horaires356734[[#This Row],[Fin]]&lt;Horaires356734[[#This Row],[début]],MAX(0,MIN(Horaires356734[[#This Row],[Fin corrigée si nuit]],fin_nuit)-MAX(Horaires356734[[#This Row],[début]],deb_nuit))*24,(MAX(deb_nuit,Horaires356734[[#This Row],[Fin]])-MAX(deb_nuit,Horaires356734[[#This Row],[début]])+MAX(MIN(fin_nuit-1,Horaires356734[[#This Row],[Fin]])-MIN(fin_nuit-1,Horaires356734[[#This Row],[début]]),0))*24)</f>
        <v>0</v>
      </c>
      <c r="O13" s="35">
        <f>(MAX(0,MIN(Horaires356734[[#This Row],[Fin corrigée si nuit]],fin_nuit)-MAX(Horaires356734[[#This Row],[début]],deb_nuit))-IF(Horaires356734[[#This Row],[PNP Début]]=0,0,MIN(Horaires356734[[#This Row],[PNP Fin corrigée]],fin_nuit)-MAX(Horaires356734[[#This Row],[PNP Début corrigé]],deb_nuit)))*24</f>
        <v>0</v>
      </c>
      <c r="P13" s="35">
        <f>(IF(WEEKDAY(Horaires356734[[#This Row],[Date]],2)=7,MAX(0,MIN(fin_dimJF,Horaires356734[[#This Row],[Fin corrigée si nuit]])-MAX(deb_dimJF,Horaires356734[[#This Row],[début]])),0)+IF(WEEKDAY(Horaires356734[[#This Row],[Date]],2)=6,MAX(0,Horaires356734[[#This Row],[Fin corrigée si nuit]]-(1+deb_dimJF)),0))*24</f>
        <v>0</v>
      </c>
      <c r="Q13" s="35">
        <f>(IF(WEEKDAY(Horaires356734[[#This Row],[Date]],2)=7,MAX(0,MIN(fin_dimJF,Horaires356734[[#This Row],[Fin corrigée si nuit]])-MAX(deb_dimJF,Horaires356734[[#This Row],[début]])),0)+IF(WEEKDAY(Horaires356734[[#This Row],[Date]],2)=6,MAX(0,Horaires356734[[#This Row],[Fin corrigée si nuit]]-(1+deb_dimJF)),0))*24-
(IF(WEEKDAY(Horaires356734[[#This Row],[Date]],2)=7,MAX(0,MIN(fin_dimJF,Horaires356734[[#This Row],[PNP Fin corrigée]])-MAX(deb_dimJF,Horaires356734[[#This Row],[PNP Début corrigé]])),0)+IF(WEEKDAY(Horaires356734[[#This Row],[Date]],2)=6,MAX(0,Horaires356734[[#This Row],[PNP Fin corrigée]]-(1+deb_dimJF)),0))*24</f>
        <v>0</v>
      </c>
      <c r="R13" s="36">
        <f>(IF(COUNTIF(JF,Horaires356734[[#This Row],[Date]]),MAX(0,MIN(fin_dimJF,Horaires356734[[#This Row],[Fin corrigée si nuit]])-MAX(deb_dimJF,Horaires356734[[#This Row],[début]])),0)+IF(COUNTIF(JF,Horaires356734[[#This Row],[Date]]+1),MAX(0,Horaires356734[[#This Row],[Fin corrigée si nuit]]-(1+deb_dimJF)),0))*24</f>
        <v>0</v>
      </c>
      <c r="S13" s="36">
        <f>(IF(COUNTIF(JF,Horaires356734[[#This Row],[Date]]),MAX(0,MIN(fin_dimJF,Horaires356734[[#This Row],[Fin corrigée si nuit]])-MAX(deb_dimJF,Horaires356734[[#This Row],[début]])),0)+IF(COUNTIF(JF,Horaires356734[[#This Row],[Date]]+1),MAX(0,Horaires356734[[#This Row],[Fin corrigée si nuit]]-(1+deb_dimJF)),0))*24-
(IF(COUNTIF(JF,Horaires356734[[#This Row],[Date]]),MAX(0,MIN(fin_dimJF,Horaires356734[[#This Row],[PNP Fin corrigée]])-MAX(deb_dimJF,Horaires356734[[#This Row],[PNP Début corrigé]])),0)+IF(COUNTIF(JF,Horaires356734[[#This Row],[Date]]+1),MAX(0,Horaires356734[[#This Row],[PNP Fin corrigée]]-(1+deb_dimJF)),0))*24</f>
        <v>0</v>
      </c>
    </row>
    <row r="14" spans="1:19" x14ac:dyDescent="0.35">
      <c r="A14" s="5"/>
      <c r="B14" s="1"/>
      <c r="C14" s="2"/>
      <c r="D14" s="2"/>
      <c r="E14" s="3"/>
      <c r="F14" s="3"/>
      <c r="G14" s="3"/>
      <c r="H14" s="3"/>
      <c r="I14" s="32">
        <f>0.1*(Horaires356734[[#This Row],[Heures de nuit]]+Horaires356734[[#This Row],[heures jour dimanche]]+Horaires356734[[#This Row],[heures jour fériés]])</f>
        <v>0</v>
      </c>
      <c r="J14" s="33">
        <f>(MOD(Horaires356734[[#This Row],[Fin]]-Horaires356734[[#This Row],[début]],1)-MOD(Horaires356734[[#This Row],[PNP Fin]]-Horaires356734[[#This Row],[PNP Début]],1))*24</f>
        <v>0</v>
      </c>
      <c r="K14" s="34">
        <f>IF(Horaires356734[[#This Row],[PNP Début]]=0,0,IF(Horaires356734[[#This Row],[PNP Début]]&lt;Horaires356734[[#This Row],[début]],1,0)+Horaires356734[[#This Row],[PNP Début]])</f>
        <v>0</v>
      </c>
      <c r="L14" s="34">
        <f>IF(Horaires356734[[#This Row],[PNP Fin]]=0,0,IF(Horaires356734[[#This Row],[PNP Fin]]&lt;Horaires356734[[#This Row],[début]],1,0)+Horaires356734[[#This Row],[PNP Fin]])</f>
        <v>0</v>
      </c>
      <c r="M14" s="34">
        <f>IF(Horaires356734[[#This Row],[Fin]]&lt;Horaires356734[[#This Row],[début]],1,0)+Horaires356734[[#This Row],[Fin]]</f>
        <v>0</v>
      </c>
      <c r="N14" s="35">
        <f>IF(Horaires356734[[#This Row],[Fin]]&lt;Horaires356734[[#This Row],[début]],MAX(0,MIN(Horaires356734[[#This Row],[Fin corrigée si nuit]],fin_nuit)-MAX(Horaires356734[[#This Row],[début]],deb_nuit))*24,(MAX(deb_nuit,Horaires356734[[#This Row],[Fin]])-MAX(deb_nuit,Horaires356734[[#This Row],[début]])+MAX(MIN(fin_nuit-1,Horaires356734[[#This Row],[Fin]])-MIN(fin_nuit-1,Horaires356734[[#This Row],[début]]),0))*24)</f>
        <v>0</v>
      </c>
      <c r="O14" s="35">
        <f>(MAX(0,MIN(Horaires356734[[#This Row],[Fin corrigée si nuit]],fin_nuit)-MAX(Horaires356734[[#This Row],[début]],deb_nuit))-IF(Horaires356734[[#This Row],[PNP Début]]=0,0,MIN(Horaires356734[[#This Row],[PNP Fin corrigée]],fin_nuit)-MAX(Horaires356734[[#This Row],[PNP Début corrigé]],deb_nuit)))*24</f>
        <v>0</v>
      </c>
      <c r="P14" s="35">
        <f>(IF(WEEKDAY(Horaires356734[[#This Row],[Date]],2)=7,MAX(0,MIN(fin_dimJF,Horaires356734[[#This Row],[Fin corrigée si nuit]])-MAX(deb_dimJF,Horaires356734[[#This Row],[début]])),0)+IF(WEEKDAY(Horaires356734[[#This Row],[Date]],2)=6,MAX(0,Horaires356734[[#This Row],[Fin corrigée si nuit]]-(1+deb_dimJF)),0))*24</f>
        <v>0</v>
      </c>
      <c r="Q14" s="35">
        <f>(IF(WEEKDAY(Horaires356734[[#This Row],[Date]],2)=7,MAX(0,MIN(fin_dimJF,Horaires356734[[#This Row],[Fin corrigée si nuit]])-MAX(deb_dimJF,Horaires356734[[#This Row],[début]])),0)+IF(WEEKDAY(Horaires356734[[#This Row],[Date]],2)=6,MAX(0,Horaires356734[[#This Row],[Fin corrigée si nuit]]-(1+deb_dimJF)),0))*24-
(IF(WEEKDAY(Horaires356734[[#This Row],[Date]],2)=7,MAX(0,MIN(fin_dimJF,Horaires356734[[#This Row],[PNP Fin corrigée]])-MAX(deb_dimJF,Horaires356734[[#This Row],[PNP Début corrigé]])),0)+IF(WEEKDAY(Horaires356734[[#This Row],[Date]],2)=6,MAX(0,Horaires356734[[#This Row],[PNP Fin corrigée]]-(1+deb_dimJF)),0))*24</f>
        <v>0</v>
      </c>
      <c r="R14" s="36">
        <f>(IF(COUNTIF(JF,Horaires356734[[#This Row],[Date]]),MAX(0,MIN(fin_dimJF,Horaires356734[[#This Row],[Fin corrigée si nuit]])-MAX(deb_dimJF,Horaires356734[[#This Row],[début]])),0)+IF(COUNTIF(JF,Horaires356734[[#This Row],[Date]]+1),MAX(0,Horaires356734[[#This Row],[Fin corrigée si nuit]]-(1+deb_dimJF)),0))*24</f>
        <v>0</v>
      </c>
      <c r="S14" s="36">
        <f>(IF(COUNTIF(JF,Horaires356734[[#This Row],[Date]]),MAX(0,MIN(fin_dimJF,Horaires356734[[#This Row],[Fin corrigée si nuit]])-MAX(deb_dimJF,Horaires356734[[#This Row],[début]])),0)+IF(COUNTIF(JF,Horaires356734[[#This Row],[Date]]+1),MAX(0,Horaires356734[[#This Row],[Fin corrigée si nuit]]-(1+deb_dimJF)),0))*24-
(IF(COUNTIF(JF,Horaires356734[[#This Row],[Date]]),MAX(0,MIN(fin_dimJF,Horaires356734[[#This Row],[PNP Fin corrigée]])-MAX(deb_dimJF,Horaires356734[[#This Row],[PNP Début corrigé]])),0)+IF(COUNTIF(JF,Horaires356734[[#This Row],[Date]]+1),MAX(0,Horaires356734[[#This Row],[PNP Fin corrigée]]-(1+deb_dimJF)),0))*24</f>
        <v>0</v>
      </c>
    </row>
    <row r="15" spans="1:19" x14ac:dyDescent="0.35">
      <c r="A15" s="5"/>
      <c r="B15" s="1"/>
      <c r="C15" s="2"/>
      <c r="D15" s="2"/>
      <c r="E15" s="3"/>
      <c r="F15" s="3"/>
      <c r="G15" s="3"/>
      <c r="H15" s="3"/>
      <c r="I15" s="32">
        <f>0.1*(Horaires356734[[#This Row],[Heures de nuit]]+Horaires356734[[#This Row],[heures jour dimanche]]+Horaires356734[[#This Row],[heures jour fériés]])</f>
        <v>0</v>
      </c>
      <c r="J15" s="33">
        <f>(MOD(Horaires356734[[#This Row],[Fin]]-Horaires356734[[#This Row],[début]],1)-MOD(Horaires356734[[#This Row],[PNP Fin]]-Horaires356734[[#This Row],[PNP Début]],1))*24</f>
        <v>0</v>
      </c>
      <c r="K15" s="34">
        <f>IF(Horaires356734[[#This Row],[PNP Début]]=0,0,IF(Horaires356734[[#This Row],[PNP Début]]&lt;Horaires356734[[#This Row],[début]],1,0)+Horaires356734[[#This Row],[PNP Début]])</f>
        <v>0</v>
      </c>
      <c r="L15" s="34">
        <f>IF(Horaires356734[[#This Row],[PNP Fin]]=0,0,IF(Horaires356734[[#This Row],[PNP Fin]]&lt;Horaires356734[[#This Row],[début]],1,0)+Horaires356734[[#This Row],[PNP Fin]])</f>
        <v>0</v>
      </c>
      <c r="M15" s="34">
        <f>IF(Horaires356734[[#This Row],[Fin]]&lt;Horaires356734[[#This Row],[début]],1,0)+Horaires356734[[#This Row],[Fin]]</f>
        <v>0</v>
      </c>
      <c r="N15" s="35">
        <f>IF(Horaires356734[[#This Row],[Fin]]&lt;Horaires356734[[#This Row],[début]],MAX(0,MIN(Horaires356734[[#This Row],[Fin corrigée si nuit]],fin_nuit)-MAX(Horaires356734[[#This Row],[début]],deb_nuit))*24,(MAX(deb_nuit,Horaires356734[[#This Row],[Fin]])-MAX(deb_nuit,Horaires356734[[#This Row],[début]])+MAX(MIN(fin_nuit-1,Horaires356734[[#This Row],[Fin]])-MIN(fin_nuit-1,Horaires356734[[#This Row],[début]]),0))*24)</f>
        <v>0</v>
      </c>
      <c r="O15" s="35">
        <f>(MAX(0,MIN(Horaires356734[[#This Row],[Fin corrigée si nuit]],fin_nuit)-MAX(Horaires356734[[#This Row],[début]],deb_nuit))-IF(Horaires356734[[#This Row],[PNP Début]]=0,0,MIN(Horaires356734[[#This Row],[PNP Fin corrigée]],fin_nuit)-MAX(Horaires356734[[#This Row],[PNP Début corrigé]],deb_nuit)))*24</f>
        <v>0</v>
      </c>
      <c r="P15" s="35">
        <f>(IF(WEEKDAY(Horaires356734[[#This Row],[Date]],2)=7,MAX(0,MIN(fin_dimJF,Horaires356734[[#This Row],[Fin corrigée si nuit]])-MAX(deb_dimJF,Horaires356734[[#This Row],[début]])),0)+IF(WEEKDAY(Horaires356734[[#This Row],[Date]],2)=6,MAX(0,Horaires356734[[#This Row],[Fin corrigée si nuit]]-(1+deb_dimJF)),0))*24</f>
        <v>0</v>
      </c>
      <c r="Q15" s="35">
        <f>(IF(WEEKDAY(Horaires356734[[#This Row],[Date]],2)=7,MAX(0,MIN(fin_dimJF,Horaires356734[[#This Row],[Fin corrigée si nuit]])-MAX(deb_dimJF,Horaires356734[[#This Row],[début]])),0)+IF(WEEKDAY(Horaires356734[[#This Row],[Date]],2)=6,MAX(0,Horaires356734[[#This Row],[Fin corrigée si nuit]]-(1+deb_dimJF)),0))*24-
(IF(WEEKDAY(Horaires356734[[#This Row],[Date]],2)=7,MAX(0,MIN(fin_dimJF,Horaires356734[[#This Row],[PNP Fin corrigée]])-MAX(deb_dimJF,Horaires356734[[#This Row],[PNP Début corrigé]])),0)+IF(WEEKDAY(Horaires356734[[#This Row],[Date]],2)=6,MAX(0,Horaires356734[[#This Row],[PNP Fin corrigée]]-(1+deb_dimJF)),0))*24</f>
        <v>0</v>
      </c>
      <c r="R15" s="36">
        <f>(IF(COUNTIF(JF,Horaires356734[[#This Row],[Date]]),MAX(0,MIN(fin_dimJF,Horaires356734[[#This Row],[Fin corrigée si nuit]])-MAX(deb_dimJF,Horaires356734[[#This Row],[début]])),0)+IF(COUNTIF(JF,Horaires356734[[#This Row],[Date]]+1),MAX(0,Horaires356734[[#This Row],[Fin corrigée si nuit]]-(1+deb_dimJF)),0))*24</f>
        <v>0</v>
      </c>
      <c r="S15" s="36">
        <f>(IF(COUNTIF(JF,Horaires356734[[#This Row],[Date]]),MAX(0,MIN(fin_dimJF,Horaires356734[[#This Row],[Fin corrigée si nuit]])-MAX(deb_dimJF,Horaires356734[[#This Row],[début]])),0)+IF(COUNTIF(JF,Horaires356734[[#This Row],[Date]]+1),MAX(0,Horaires356734[[#This Row],[Fin corrigée si nuit]]-(1+deb_dimJF)),0))*24-
(IF(COUNTIF(JF,Horaires356734[[#This Row],[Date]]),MAX(0,MIN(fin_dimJF,Horaires356734[[#This Row],[PNP Fin corrigée]])-MAX(deb_dimJF,Horaires356734[[#This Row],[PNP Début corrigé]])),0)+IF(COUNTIF(JF,Horaires356734[[#This Row],[Date]]+1),MAX(0,Horaires356734[[#This Row],[PNP Fin corrigée]]-(1+deb_dimJF)),0))*24</f>
        <v>0</v>
      </c>
    </row>
    <row r="16" spans="1:19" x14ac:dyDescent="0.35">
      <c r="A16" s="5"/>
      <c r="B16" s="6"/>
      <c r="C16" s="2"/>
      <c r="D16" s="2"/>
      <c r="E16" s="3"/>
      <c r="F16" s="3"/>
      <c r="G16" s="7"/>
      <c r="H16" s="7"/>
      <c r="I16" s="32">
        <f>0.1*(Horaires356734[[#This Row],[Heures de nuit]]+Horaires356734[[#This Row],[heures jour dimanche]]+Horaires356734[[#This Row],[heures jour fériés]])</f>
        <v>0</v>
      </c>
      <c r="J16" s="37">
        <f>(MOD(Horaires356734[[#This Row],[Fin]]-Horaires356734[[#This Row],[début]],1)-MOD(Horaires356734[[#This Row],[PNP Fin]]-Horaires356734[[#This Row],[PNP Début]],1))*24</f>
        <v>0</v>
      </c>
      <c r="K16" s="34">
        <f>IF(Horaires356734[[#This Row],[PNP Début]]=0,0,IF(Horaires356734[[#This Row],[PNP Début]]&lt;Horaires356734[[#This Row],[début]],1,0)+Horaires356734[[#This Row],[PNP Début]])</f>
        <v>0</v>
      </c>
      <c r="L16" s="34">
        <f>IF(Horaires356734[[#This Row],[PNP Fin]]=0,0,IF(Horaires356734[[#This Row],[PNP Fin]]&lt;Horaires356734[[#This Row],[début]],1,0)+Horaires356734[[#This Row],[PNP Fin]])</f>
        <v>0</v>
      </c>
      <c r="M16" s="38">
        <f>IF(Horaires356734[[#This Row],[Fin]]&lt;Horaires356734[[#This Row],[début]],1,0)+Horaires356734[[#This Row],[Fin]]</f>
        <v>0</v>
      </c>
      <c r="N16" s="35">
        <f>IF(Horaires356734[[#This Row],[Fin]]&lt;Horaires356734[[#This Row],[début]],MAX(0,MIN(Horaires356734[[#This Row],[Fin corrigée si nuit]],fin_nuit)-MAX(Horaires356734[[#This Row],[début]],deb_nuit))*24,(MAX(deb_nuit,Horaires356734[[#This Row],[Fin]])-MAX(deb_nuit,Horaires356734[[#This Row],[début]])+MAX(MIN(fin_nuit-1,Horaires356734[[#This Row],[Fin]])-MIN(fin_nuit-1,Horaires356734[[#This Row],[début]]),0))*24)</f>
        <v>0</v>
      </c>
      <c r="O16" s="39">
        <f>(MAX(0,MIN(Horaires356734[[#This Row],[Fin corrigée si nuit]],fin_nuit)-MAX(Horaires356734[[#This Row],[début]],deb_nuit))-IF(Horaires356734[[#This Row],[PNP Début]]=0,0,MIN(Horaires356734[[#This Row],[PNP Fin corrigée]],fin_nuit)-MAX(Horaires356734[[#This Row],[PNP Début corrigé]],deb_nuit)))*24</f>
        <v>0</v>
      </c>
      <c r="P16" s="39">
        <f>(IF(WEEKDAY(Horaires356734[[#This Row],[Date]],2)=7,MAX(0,MIN(fin_dimJF,Horaires356734[[#This Row],[Fin corrigée si nuit]])-MAX(deb_dimJF,Horaires356734[[#This Row],[début]])),0)+IF(WEEKDAY(Horaires356734[[#This Row],[Date]],2)=6,MAX(0,Horaires356734[[#This Row],[Fin corrigée si nuit]]-(1+deb_dimJF)),0))*24</f>
        <v>0</v>
      </c>
      <c r="Q16" s="35">
        <f>(IF(WEEKDAY(Horaires356734[[#This Row],[Date]],2)=7,MAX(0,MIN(fin_dimJF,Horaires356734[[#This Row],[Fin corrigée si nuit]])-MAX(deb_dimJF,Horaires356734[[#This Row],[début]])),0)+IF(WEEKDAY(Horaires356734[[#This Row],[Date]],2)=6,MAX(0,Horaires356734[[#This Row],[Fin corrigée si nuit]]-(1+deb_dimJF)),0))*24-
(IF(WEEKDAY(Horaires356734[[#This Row],[Date]],2)=7,MAX(0,MIN(fin_dimJF,Horaires356734[[#This Row],[PNP Fin corrigée]])-MAX(deb_dimJF,Horaires356734[[#This Row],[PNP Début corrigé]])),0)+IF(WEEKDAY(Horaires356734[[#This Row],[Date]],2)=6,MAX(0,Horaires356734[[#This Row],[PNP Fin corrigée]]-(1+deb_dimJF)),0))*24</f>
        <v>0</v>
      </c>
      <c r="R16" s="40">
        <f>(IF(COUNTIF(JF,Horaires356734[[#This Row],[Date]]),MAX(0,MIN(fin_dimJF,Horaires356734[[#This Row],[Fin corrigée si nuit]])-MAX(deb_dimJF,Horaires356734[[#This Row],[début]])),0)+IF(COUNTIF(JF,Horaires356734[[#This Row],[Date]]+1),MAX(0,Horaires356734[[#This Row],[Fin corrigée si nuit]]-(1+deb_dimJF)),0))*24</f>
        <v>0</v>
      </c>
      <c r="S16" s="40">
        <f>(IF(COUNTIF(JF,Horaires356734[[#This Row],[Date]]),MAX(0,MIN(fin_dimJF,Horaires356734[[#This Row],[Fin corrigée si nuit]])-MAX(deb_dimJF,Horaires356734[[#This Row],[début]])),0)+IF(COUNTIF(JF,Horaires356734[[#This Row],[Date]]+1),MAX(0,Horaires356734[[#This Row],[Fin corrigée si nuit]]-(1+deb_dimJF)),0))*24-
(IF(COUNTIF(JF,Horaires356734[[#This Row],[Date]]),MAX(0,MIN(fin_dimJF,Horaires356734[[#This Row],[PNP Fin corrigée]])-MAX(deb_dimJF,Horaires356734[[#This Row],[PNP Début corrigé]])),0)+IF(COUNTIF(JF,Horaires356734[[#This Row],[Date]]+1),MAX(0,Horaires356734[[#This Row],[PNP Fin corrigée]]-(1+deb_dimJF)),0))*24</f>
        <v>0</v>
      </c>
    </row>
    <row r="17" spans="1:19" x14ac:dyDescent="0.35">
      <c r="A17" s="5"/>
      <c r="B17" s="1"/>
      <c r="C17" s="2"/>
      <c r="D17" s="2"/>
      <c r="E17" s="3"/>
      <c r="F17" s="3"/>
      <c r="G17" s="12"/>
      <c r="H17" s="12"/>
      <c r="I17" s="41">
        <f>0.1*(Horaires356734[[#This Row],[Heures de nuit]]+Horaires356734[[#This Row],[heures jour dimanche]]+Horaires356734[[#This Row],[heures jour fériés]])</f>
        <v>0</v>
      </c>
      <c r="J17" s="42">
        <f>(MOD(Horaires356734[[#This Row],[Fin]]-Horaires356734[[#This Row],[début]],1)-MOD(Horaires356734[[#This Row],[PNP Fin]]-Horaires356734[[#This Row],[PNP Début]],1))*24</f>
        <v>0</v>
      </c>
      <c r="K17" s="43">
        <f>IF(Horaires356734[[#This Row],[PNP Début]]=0,0,IF(Horaires356734[[#This Row],[PNP Début]]&lt;Horaires356734[[#This Row],[début]],1,0)+Horaires356734[[#This Row],[PNP Début]])</f>
        <v>0</v>
      </c>
      <c r="L17" s="44">
        <f>IF(Horaires356734[[#This Row],[PNP Fin]]=0,0,IF(Horaires356734[[#This Row],[PNP Fin]]&lt;Horaires356734[[#This Row],[début]],1,0)+Horaires356734[[#This Row],[PNP Fin]])</f>
        <v>0</v>
      </c>
      <c r="M17" s="44">
        <f>IF(Horaires356734[[#This Row],[Fin]]&lt;Horaires356734[[#This Row],[début]],1,0)+Horaires356734[[#This Row],[Fin]]</f>
        <v>0</v>
      </c>
      <c r="N17" s="35">
        <f>IF(Horaires356734[[#This Row],[Fin]]&lt;Horaires356734[[#This Row],[début]],MAX(0,MIN(Horaires356734[[#This Row],[Fin corrigée si nuit]],fin_nuit)-MAX(Horaires356734[[#This Row],[début]],deb_nuit))*24,(MAX(deb_nuit,Horaires356734[[#This Row],[Fin]])-MAX(deb_nuit,Horaires356734[[#This Row],[début]])+MAX(MIN(fin_nuit-1,Horaires356734[[#This Row],[Fin]])-MIN(fin_nuit-1,Horaires356734[[#This Row],[début]]),0))*24)</f>
        <v>0</v>
      </c>
      <c r="O17" s="45">
        <f>(MAX(0,MIN(Horaires356734[[#This Row],[Fin corrigée si nuit]],fin_nuit)-MAX(Horaires356734[[#This Row],[début]],deb_nuit))-IF(Horaires356734[[#This Row],[PNP Début]]=0,0,MIN(Horaires356734[[#This Row],[PNP Fin corrigée]],fin_nuit)-MAX(Horaires356734[[#This Row],[PNP Début corrigé]],deb_nuit)))*24</f>
        <v>0</v>
      </c>
      <c r="P17" s="45">
        <f>(IF(WEEKDAY(Horaires356734[[#This Row],[Date]],2)=7,MAX(0,MIN(fin_dimJF,Horaires356734[[#This Row],[Fin corrigée si nuit]])-MAX(deb_dimJF,Horaires356734[[#This Row],[début]])),0)+IF(WEEKDAY(Horaires356734[[#This Row],[Date]],2)=6,MAX(0,Horaires356734[[#This Row],[Fin corrigée si nuit]]-(1+deb_dimJF)),0))*24</f>
        <v>0</v>
      </c>
      <c r="Q17" s="45">
        <f>(IF(WEEKDAY(Horaires356734[[#This Row],[Date]],2)=7,MAX(0,MIN(fin_dimJF,Horaires356734[[#This Row],[Fin corrigée si nuit]])-MAX(deb_dimJF,Horaires356734[[#This Row],[début]])),0)+IF(WEEKDAY(Horaires356734[[#This Row],[Date]],2)=6,MAX(0,Horaires356734[[#This Row],[Fin corrigée si nuit]]-(1+deb_dimJF)),0))*24-
(IF(WEEKDAY(Horaires356734[[#This Row],[Date]],2)=7,MAX(0,MIN(fin_dimJF,Horaires356734[[#This Row],[PNP Fin corrigée]])-MAX(deb_dimJF,Horaires356734[[#This Row],[PNP Début corrigé]])),0)+IF(WEEKDAY(Horaires356734[[#This Row],[Date]],2)=6,MAX(0,Horaires356734[[#This Row],[PNP Fin corrigée]]-(1+deb_dimJF)),0))*24</f>
        <v>0</v>
      </c>
      <c r="R17" s="45">
        <f>(IF(COUNTIF(JF,Horaires356734[[#This Row],[Date]]),MAX(0,MIN(fin_dimJF,Horaires356734[[#This Row],[Fin corrigée si nuit]])-MAX(deb_dimJF,Horaires356734[[#This Row],[début]])),0)+IF(COUNTIF(JF,Horaires356734[[#This Row],[Date]]+1),MAX(0,Horaires356734[[#This Row],[Fin corrigée si nuit]]-(1+deb_dimJF)),0))*24</f>
        <v>0</v>
      </c>
      <c r="S17" s="45">
        <f>(IF(COUNTIF(JF,Horaires356734[[#This Row],[Date]]),MAX(0,MIN(fin_dimJF,Horaires356734[[#This Row],[Fin corrigée si nuit]])-MAX(deb_dimJF,Horaires356734[[#This Row],[début]])),0)+IF(COUNTIF(JF,Horaires356734[[#This Row],[Date]]+1),MAX(0,Horaires356734[[#This Row],[Fin corrigée si nuit]]-(1+deb_dimJF)),0))*24-
(IF(COUNTIF(JF,Horaires356734[[#This Row],[Date]]),MAX(0,MIN(fin_dimJF,Horaires356734[[#This Row],[PNP Fin corrigée]])-MAX(deb_dimJF,Horaires356734[[#This Row],[PNP Début corrigé]])),0)+IF(COUNTIF(JF,Horaires356734[[#This Row],[Date]]+1),MAX(0,Horaires356734[[#This Row],[PNP Fin corrigée]]-(1+deb_dimJF)),0))*24</f>
        <v>0</v>
      </c>
    </row>
    <row r="18" spans="1:19" x14ac:dyDescent="0.35">
      <c r="A18" s="5"/>
      <c r="B18" s="60"/>
      <c r="C18" s="11"/>
      <c r="D18" s="11"/>
      <c r="E18" s="12"/>
      <c r="F18" s="12"/>
      <c r="G18" s="12"/>
      <c r="H18" s="12"/>
      <c r="I18" s="41">
        <f>0.1*(Horaires356734[[#This Row],[Heures de nuit]]+Horaires356734[[#This Row],[heures jour dimanche]]+Horaires356734[[#This Row],[heures jour fériés]])</f>
        <v>0</v>
      </c>
      <c r="J18" s="42">
        <f>(MOD(Horaires356734[[#This Row],[Fin]]-Horaires356734[[#This Row],[début]],1)-MOD(Horaires356734[[#This Row],[PNP Fin]]-Horaires356734[[#This Row],[PNP Début]],1))*24</f>
        <v>0</v>
      </c>
      <c r="K18" s="43">
        <f>IF(Horaires356734[[#This Row],[PNP Début]]=0,0,IF(Horaires356734[[#This Row],[PNP Début]]&lt;Horaires356734[[#This Row],[début]],1,0)+Horaires356734[[#This Row],[PNP Début]])</f>
        <v>0</v>
      </c>
      <c r="L18" s="44">
        <f>IF(Horaires356734[[#This Row],[PNP Fin]]=0,0,IF(Horaires356734[[#This Row],[PNP Fin]]&lt;Horaires356734[[#This Row],[début]],1,0)+Horaires356734[[#This Row],[PNP Fin]])</f>
        <v>0</v>
      </c>
      <c r="M18" s="44">
        <f>IF(Horaires356734[[#This Row],[Fin]]&lt;Horaires356734[[#This Row],[début]],1,0)+Horaires356734[[#This Row],[Fin]]</f>
        <v>0</v>
      </c>
      <c r="N18" s="35">
        <f>IF(Horaires356734[[#This Row],[Fin]]&lt;Horaires356734[[#This Row],[début]],MAX(0,MIN(Horaires356734[[#This Row],[Fin corrigée si nuit]],fin_nuit)-MAX(Horaires356734[[#This Row],[début]],deb_nuit))*24,(MAX(deb_nuit,Horaires356734[[#This Row],[Fin]])-MAX(deb_nuit,Horaires356734[[#This Row],[début]])+MAX(MIN(fin_nuit-1,Horaires356734[[#This Row],[Fin]])-MIN(fin_nuit-1,Horaires356734[[#This Row],[début]]),0))*24)</f>
        <v>0</v>
      </c>
      <c r="O18" s="45">
        <f>(MAX(0,MIN(Horaires356734[[#This Row],[Fin corrigée si nuit]],fin_nuit)-MAX(Horaires356734[[#This Row],[début]],deb_nuit))-IF(Horaires356734[[#This Row],[PNP Début]]=0,0,MIN(Horaires356734[[#This Row],[PNP Fin corrigée]],fin_nuit)-MAX(Horaires356734[[#This Row],[PNP Début corrigé]],deb_nuit)))*24</f>
        <v>0</v>
      </c>
      <c r="P18" s="45">
        <f>(IF(WEEKDAY(Horaires356734[[#This Row],[Date]],2)=7,MAX(0,MIN(fin_dimJF,Horaires356734[[#This Row],[Fin corrigée si nuit]])-MAX(deb_dimJF,Horaires356734[[#This Row],[début]])),0)+IF(WEEKDAY(Horaires356734[[#This Row],[Date]],2)=6,MAX(0,Horaires356734[[#This Row],[Fin corrigée si nuit]]-(1+deb_dimJF)),0))*24</f>
        <v>0</v>
      </c>
      <c r="Q18" s="45">
        <f>(IF(WEEKDAY(Horaires356734[[#This Row],[Date]],2)=7,MAX(0,MIN(fin_dimJF,Horaires356734[[#This Row],[Fin corrigée si nuit]])-MAX(deb_dimJF,Horaires356734[[#This Row],[début]])),0)+IF(WEEKDAY(Horaires356734[[#This Row],[Date]],2)=6,MAX(0,Horaires356734[[#This Row],[Fin corrigée si nuit]]-(1+deb_dimJF)),0))*24-
(IF(WEEKDAY(Horaires356734[[#This Row],[Date]],2)=7,MAX(0,MIN(fin_dimJF,Horaires356734[[#This Row],[PNP Fin corrigée]])-MAX(deb_dimJF,Horaires356734[[#This Row],[PNP Début corrigé]])),0)+IF(WEEKDAY(Horaires356734[[#This Row],[Date]],2)=6,MAX(0,Horaires356734[[#This Row],[PNP Fin corrigée]]-(1+deb_dimJF)),0))*24</f>
        <v>0</v>
      </c>
      <c r="R18" s="45">
        <f>(IF(COUNTIF(JF,Horaires356734[[#This Row],[Date]]),MAX(0,MIN(fin_dimJF,Horaires356734[[#This Row],[Fin corrigée si nuit]])-MAX(deb_dimJF,Horaires356734[[#This Row],[début]])),0)+IF(COUNTIF(JF,Horaires356734[[#This Row],[Date]]+1),MAX(0,Horaires356734[[#This Row],[Fin corrigée si nuit]]-(1+deb_dimJF)),0))*24</f>
        <v>0</v>
      </c>
      <c r="S18" s="45">
        <f>(IF(COUNTIF(JF,Horaires356734[[#This Row],[Date]]),MAX(0,MIN(fin_dimJF,Horaires356734[[#This Row],[Fin corrigée si nuit]])-MAX(deb_dimJF,Horaires356734[[#This Row],[début]])),0)+IF(COUNTIF(JF,Horaires356734[[#This Row],[Date]]+1),MAX(0,Horaires356734[[#This Row],[Fin corrigée si nuit]]-(1+deb_dimJF)),0))*24-
(IF(COUNTIF(JF,Horaires356734[[#This Row],[Date]]),MAX(0,MIN(fin_dimJF,Horaires356734[[#This Row],[PNP Fin corrigée]])-MAX(deb_dimJF,Horaires356734[[#This Row],[PNP Début corrigé]])),0)+IF(COUNTIF(JF,Horaires356734[[#This Row],[Date]]+1),MAX(0,Horaires356734[[#This Row],[PNP Fin corrigée]]-(1+deb_dimJF)),0))*24</f>
        <v>0</v>
      </c>
    </row>
    <row r="19" spans="1:19" x14ac:dyDescent="0.35">
      <c r="A19" s="5"/>
      <c r="B19" s="1"/>
      <c r="C19" s="11"/>
      <c r="D19" s="11"/>
      <c r="E19" s="3"/>
      <c r="F19" s="3"/>
      <c r="G19" s="12"/>
      <c r="H19" s="12"/>
      <c r="I19" s="41">
        <f>0.1*(Horaires356734[[#This Row],[Heures de nuit]]+Horaires356734[[#This Row],[heures jour dimanche]]+Horaires356734[[#This Row],[heures jour fériés]])</f>
        <v>0</v>
      </c>
      <c r="J19" s="42">
        <f>(MOD(Horaires356734[[#This Row],[Fin]]-Horaires356734[[#This Row],[début]],1)-MOD(Horaires356734[[#This Row],[PNP Fin]]-Horaires356734[[#This Row],[PNP Début]],1))*24</f>
        <v>0</v>
      </c>
      <c r="K19" s="43">
        <f>IF(Horaires356734[[#This Row],[PNP Début]]=0,0,IF(Horaires356734[[#This Row],[PNP Début]]&lt;Horaires356734[[#This Row],[début]],1,0)+Horaires356734[[#This Row],[PNP Début]])</f>
        <v>0</v>
      </c>
      <c r="L19" s="44">
        <f>IF(Horaires356734[[#This Row],[PNP Fin]]=0,0,IF(Horaires356734[[#This Row],[PNP Fin]]&lt;Horaires356734[[#This Row],[début]],1,0)+Horaires356734[[#This Row],[PNP Fin]])</f>
        <v>0</v>
      </c>
      <c r="M19" s="44">
        <f>IF(Horaires356734[[#This Row],[Fin]]&lt;Horaires356734[[#This Row],[début]],1,0)+Horaires356734[[#This Row],[Fin]]</f>
        <v>0</v>
      </c>
      <c r="N19" s="35">
        <f>IF(Horaires356734[[#This Row],[Fin]]&lt;Horaires356734[[#This Row],[début]],MAX(0,MIN(Horaires356734[[#This Row],[Fin corrigée si nuit]],fin_nuit)-MAX(Horaires356734[[#This Row],[début]],deb_nuit))*24,(MAX(deb_nuit,Horaires356734[[#This Row],[Fin]])-MAX(deb_nuit,Horaires356734[[#This Row],[début]])+MAX(MIN(fin_nuit-1,Horaires356734[[#This Row],[Fin]])-MIN(fin_nuit-1,Horaires356734[[#This Row],[début]]),0))*24)</f>
        <v>0</v>
      </c>
      <c r="O19" s="45">
        <f>(MAX(0,MIN(Horaires356734[[#This Row],[Fin corrigée si nuit]],fin_nuit)-MAX(Horaires356734[[#This Row],[début]],deb_nuit))-IF(Horaires356734[[#This Row],[PNP Début]]=0,0,MIN(Horaires356734[[#This Row],[PNP Fin corrigée]],fin_nuit)-MAX(Horaires356734[[#This Row],[PNP Début corrigé]],deb_nuit)))*24</f>
        <v>0</v>
      </c>
      <c r="P19" s="45">
        <f>(IF(WEEKDAY(Horaires356734[[#This Row],[Date]],2)=7,MAX(0,MIN(fin_dimJF,Horaires356734[[#This Row],[Fin corrigée si nuit]])-MAX(deb_dimJF,Horaires356734[[#This Row],[début]])),0)+IF(WEEKDAY(Horaires356734[[#This Row],[Date]],2)=6,MAX(0,Horaires356734[[#This Row],[Fin corrigée si nuit]]-(1+deb_dimJF)),0))*24</f>
        <v>0</v>
      </c>
      <c r="Q19" s="45">
        <f>(IF(WEEKDAY(Horaires356734[[#This Row],[Date]],2)=7,MAX(0,MIN(fin_dimJF,Horaires356734[[#This Row],[Fin corrigée si nuit]])-MAX(deb_dimJF,Horaires356734[[#This Row],[début]])),0)+IF(WEEKDAY(Horaires356734[[#This Row],[Date]],2)=6,MAX(0,Horaires356734[[#This Row],[Fin corrigée si nuit]]-(1+deb_dimJF)),0))*24-
(IF(WEEKDAY(Horaires356734[[#This Row],[Date]],2)=7,MAX(0,MIN(fin_dimJF,Horaires356734[[#This Row],[PNP Fin corrigée]])-MAX(deb_dimJF,Horaires356734[[#This Row],[PNP Début corrigé]])),0)+IF(WEEKDAY(Horaires356734[[#This Row],[Date]],2)=6,MAX(0,Horaires356734[[#This Row],[PNP Fin corrigée]]-(1+deb_dimJF)),0))*24</f>
        <v>0</v>
      </c>
      <c r="R19" s="45">
        <f>(IF(COUNTIF(JF,Horaires356734[[#This Row],[Date]]),MAX(0,MIN(fin_dimJF,Horaires356734[[#This Row],[Fin corrigée si nuit]])-MAX(deb_dimJF,Horaires356734[[#This Row],[début]])),0)+IF(COUNTIF(JF,Horaires356734[[#This Row],[Date]]+1),MAX(0,Horaires356734[[#This Row],[Fin corrigée si nuit]]-(1+deb_dimJF)),0))*24</f>
        <v>0</v>
      </c>
      <c r="S19" s="45">
        <f>(IF(COUNTIF(JF,Horaires356734[[#This Row],[Date]]),MAX(0,MIN(fin_dimJF,Horaires356734[[#This Row],[Fin corrigée si nuit]])-MAX(deb_dimJF,Horaires356734[[#This Row],[début]])),0)+IF(COUNTIF(JF,Horaires356734[[#This Row],[Date]]+1),MAX(0,Horaires356734[[#This Row],[Fin corrigée si nuit]]-(1+deb_dimJF)),0))*24-
(IF(COUNTIF(JF,Horaires356734[[#This Row],[Date]]),MAX(0,MIN(fin_dimJF,Horaires356734[[#This Row],[PNP Fin corrigée]])-MAX(deb_dimJF,Horaires356734[[#This Row],[PNP Début corrigé]])),0)+IF(COUNTIF(JF,Horaires356734[[#This Row],[Date]]+1),MAX(0,Horaires356734[[#This Row],[PNP Fin corrigée]]-(1+deb_dimJF)),0))*24</f>
        <v>0</v>
      </c>
    </row>
    <row r="20" spans="1:19" x14ac:dyDescent="0.35">
      <c r="A20" s="5"/>
      <c r="B20" s="1"/>
      <c r="C20" s="11"/>
      <c r="D20" s="11"/>
      <c r="E20" s="12"/>
      <c r="F20" s="12"/>
      <c r="G20" s="12"/>
      <c r="H20" s="12"/>
      <c r="I20" s="41">
        <f>0.1*(Horaires356734[[#This Row],[Heures de nuit]]+Horaires356734[[#This Row],[heures jour dimanche]]+Horaires356734[[#This Row],[heures jour fériés]])</f>
        <v>0</v>
      </c>
      <c r="J20" s="42">
        <f>(MOD(Horaires356734[[#This Row],[Fin]]-Horaires356734[[#This Row],[début]],1)-MOD(Horaires356734[[#This Row],[PNP Fin]]-Horaires356734[[#This Row],[PNP Début]],1))*24</f>
        <v>0</v>
      </c>
      <c r="K20" s="43">
        <f>IF(Horaires356734[[#This Row],[PNP Début]]=0,0,IF(Horaires356734[[#This Row],[PNP Début]]&lt;Horaires356734[[#This Row],[début]],1,0)+Horaires356734[[#This Row],[PNP Début]])</f>
        <v>0</v>
      </c>
      <c r="L20" s="44">
        <f>IF(Horaires356734[[#This Row],[PNP Fin]]=0,0,IF(Horaires356734[[#This Row],[PNP Fin]]&lt;Horaires356734[[#This Row],[début]],1,0)+Horaires356734[[#This Row],[PNP Fin]])</f>
        <v>0</v>
      </c>
      <c r="M20" s="44">
        <f>IF(Horaires356734[[#This Row],[Fin]]&lt;Horaires356734[[#This Row],[début]],1,0)+Horaires356734[[#This Row],[Fin]]</f>
        <v>0</v>
      </c>
      <c r="N20" s="35">
        <f>IF(Horaires356734[[#This Row],[Fin]]&lt;Horaires356734[[#This Row],[début]],MAX(0,MIN(Horaires356734[[#This Row],[Fin corrigée si nuit]],fin_nuit)-MAX(Horaires356734[[#This Row],[début]],deb_nuit))*24,(MAX(deb_nuit,Horaires356734[[#This Row],[Fin]])-MAX(deb_nuit,Horaires356734[[#This Row],[début]])+MAX(MIN(fin_nuit-1,Horaires356734[[#This Row],[Fin]])-MIN(fin_nuit-1,Horaires356734[[#This Row],[début]]),0))*24)</f>
        <v>0</v>
      </c>
      <c r="O20" s="45">
        <f>(MAX(0,MIN(Horaires356734[[#This Row],[Fin corrigée si nuit]],fin_nuit)-MAX(Horaires356734[[#This Row],[début]],deb_nuit))-IF(Horaires356734[[#This Row],[PNP Début]]=0,0,MIN(Horaires356734[[#This Row],[PNP Fin corrigée]],fin_nuit)-MAX(Horaires356734[[#This Row],[PNP Début corrigé]],deb_nuit)))*24</f>
        <v>0</v>
      </c>
      <c r="P20" s="45">
        <f>(IF(WEEKDAY(Horaires356734[[#This Row],[Date]],2)=7,MAX(0,MIN(fin_dimJF,Horaires356734[[#This Row],[Fin corrigée si nuit]])-MAX(deb_dimJF,Horaires356734[[#This Row],[début]])),0)+IF(WEEKDAY(Horaires356734[[#This Row],[Date]],2)=6,MAX(0,Horaires356734[[#This Row],[Fin corrigée si nuit]]-(1+deb_dimJF)),0))*24</f>
        <v>0</v>
      </c>
      <c r="Q20" s="45">
        <f>(IF(WEEKDAY(Horaires356734[[#This Row],[Date]],2)=7,MAX(0,MIN(fin_dimJF,Horaires356734[[#This Row],[Fin corrigée si nuit]])-MAX(deb_dimJF,Horaires356734[[#This Row],[début]])),0)+IF(WEEKDAY(Horaires356734[[#This Row],[Date]],2)=6,MAX(0,Horaires356734[[#This Row],[Fin corrigée si nuit]]-(1+deb_dimJF)),0))*24-
(IF(WEEKDAY(Horaires356734[[#This Row],[Date]],2)=7,MAX(0,MIN(fin_dimJF,Horaires356734[[#This Row],[PNP Fin corrigée]])-MAX(deb_dimJF,Horaires356734[[#This Row],[PNP Début corrigé]])),0)+IF(WEEKDAY(Horaires356734[[#This Row],[Date]],2)=6,MAX(0,Horaires356734[[#This Row],[PNP Fin corrigée]]-(1+deb_dimJF)),0))*24</f>
        <v>0</v>
      </c>
      <c r="R20" s="45">
        <f>(IF(COUNTIF(JF,Horaires356734[[#This Row],[Date]]),MAX(0,MIN(fin_dimJF,Horaires356734[[#This Row],[Fin corrigée si nuit]])-MAX(deb_dimJF,Horaires356734[[#This Row],[début]])),0)+IF(COUNTIF(JF,Horaires356734[[#This Row],[Date]]+1),MAX(0,Horaires356734[[#This Row],[Fin corrigée si nuit]]-(1+deb_dimJF)),0))*24</f>
        <v>0</v>
      </c>
      <c r="S20" s="45">
        <f>(IF(COUNTIF(JF,Horaires356734[[#This Row],[Date]]),MAX(0,MIN(fin_dimJF,Horaires356734[[#This Row],[Fin corrigée si nuit]])-MAX(deb_dimJF,Horaires356734[[#This Row],[début]])),0)+IF(COUNTIF(JF,Horaires356734[[#This Row],[Date]]+1),MAX(0,Horaires356734[[#This Row],[Fin corrigée si nuit]]-(1+deb_dimJF)),0))*24-
(IF(COUNTIF(JF,Horaires356734[[#This Row],[Date]]),MAX(0,MIN(fin_dimJF,Horaires356734[[#This Row],[PNP Fin corrigée]])-MAX(deb_dimJF,Horaires356734[[#This Row],[PNP Début corrigé]])),0)+IF(COUNTIF(JF,Horaires356734[[#This Row],[Date]]+1),MAX(0,Horaires356734[[#This Row],[PNP Fin corrigée]]-(1+deb_dimJF)),0))*24</f>
        <v>0</v>
      </c>
    </row>
    <row r="21" spans="1:19" x14ac:dyDescent="0.35">
      <c r="A21" s="5"/>
      <c r="B21" s="6"/>
      <c r="C21" s="13"/>
      <c r="D21" s="13"/>
      <c r="E21" s="3"/>
      <c r="F21" s="3"/>
      <c r="G21" s="14"/>
      <c r="H21" s="14"/>
      <c r="I21" s="46">
        <f>0.1*(Horaires356734[[#This Row],[Heures de nuit]]+Horaires356734[[#This Row],[heures jour dimanche]]+Horaires356734[[#This Row],[heures jour fériés]])</f>
        <v>0</v>
      </c>
      <c r="J21" s="47">
        <f>(MOD(Horaires356734[[#This Row],[Fin]]-Horaires356734[[#This Row],[début]],1)-MOD(Horaires356734[[#This Row],[PNP Fin]]-Horaires356734[[#This Row],[PNP Début]],1))*24</f>
        <v>0</v>
      </c>
      <c r="K21" s="48">
        <f>IF(Horaires356734[[#This Row],[PNP Début]]=0,0,IF(Horaires356734[[#This Row],[PNP Début]]&lt;Horaires356734[[#This Row],[début]],1,0)+Horaires356734[[#This Row],[PNP Début]])</f>
        <v>0</v>
      </c>
      <c r="L21" s="49">
        <f>IF(Horaires356734[[#This Row],[PNP Fin]]=0,0,IF(Horaires356734[[#This Row],[PNP Fin]]&lt;Horaires356734[[#This Row],[début]],1,0)+Horaires356734[[#This Row],[PNP Fin]])</f>
        <v>0</v>
      </c>
      <c r="M21" s="49">
        <f>IF(Horaires356734[[#This Row],[Fin]]&lt;Horaires356734[[#This Row],[début]],1,0)+Horaires356734[[#This Row],[Fin]]</f>
        <v>0</v>
      </c>
      <c r="N21" s="35">
        <f>IF(Horaires356734[[#This Row],[Fin]]&lt;Horaires356734[[#This Row],[début]],MAX(0,MIN(Horaires356734[[#This Row],[Fin corrigée si nuit]],fin_nuit)-MAX(Horaires356734[[#This Row],[début]],deb_nuit))*24,(MAX(deb_nuit,Horaires356734[[#This Row],[Fin]])-MAX(deb_nuit,Horaires356734[[#This Row],[début]])+MAX(MIN(fin_nuit-1,Horaires356734[[#This Row],[Fin]])-MIN(fin_nuit-1,Horaires356734[[#This Row],[début]]),0))*24)</f>
        <v>0</v>
      </c>
      <c r="O21" s="50">
        <f>(MAX(0,MIN(Horaires356734[[#This Row],[Fin corrigée si nuit]],fin_nuit)-MAX(Horaires356734[[#This Row],[début]],deb_nuit))-IF(Horaires356734[[#This Row],[PNP Début]]=0,0,MIN(Horaires356734[[#This Row],[PNP Fin corrigée]],fin_nuit)-MAX(Horaires356734[[#This Row],[PNP Début corrigé]],deb_nuit)))*24</f>
        <v>0</v>
      </c>
      <c r="P21" s="50">
        <f>(IF(WEEKDAY(Horaires356734[[#This Row],[Date]],2)=7,MAX(0,MIN(fin_dimJF,Horaires356734[[#This Row],[Fin corrigée si nuit]])-MAX(deb_dimJF,Horaires356734[[#This Row],[début]])),0)+IF(WEEKDAY(Horaires356734[[#This Row],[Date]],2)=6,MAX(0,Horaires356734[[#This Row],[Fin corrigée si nuit]]-(1+deb_dimJF)),0))*24</f>
        <v>0</v>
      </c>
      <c r="Q21" s="50">
        <f>(IF(WEEKDAY(Horaires356734[[#This Row],[Date]],2)=7,MAX(0,MIN(fin_dimJF,Horaires356734[[#This Row],[Fin corrigée si nuit]])-MAX(deb_dimJF,Horaires356734[[#This Row],[début]])),0)+IF(WEEKDAY(Horaires356734[[#This Row],[Date]],2)=6,MAX(0,Horaires356734[[#This Row],[Fin corrigée si nuit]]-(1+deb_dimJF)),0))*24-
(IF(WEEKDAY(Horaires356734[[#This Row],[Date]],2)=7,MAX(0,MIN(fin_dimJF,Horaires356734[[#This Row],[PNP Fin corrigée]])-MAX(deb_dimJF,Horaires356734[[#This Row],[PNP Début corrigé]])),0)+IF(WEEKDAY(Horaires356734[[#This Row],[Date]],2)=6,MAX(0,Horaires356734[[#This Row],[PNP Fin corrigée]]-(1+deb_dimJF)),0))*24</f>
        <v>0</v>
      </c>
      <c r="R21" s="50">
        <f>(IF(COUNTIF(JF,Horaires356734[[#This Row],[Date]]),MAX(0,MIN(fin_dimJF,Horaires356734[[#This Row],[Fin corrigée si nuit]])-MAX(deb_dimJF,Horaires356734[[#This Row],[début]])),0)+IF(COUNTIF(JF,Horaires356734[[#This Row],[Date]]+1),MAX(0,Horaires356734[[#This Row],[Fin corrigée si nuit]]-(1+deb_dimJF)),0))*24</f>
        <v>0</v>
      </c>
      <c r="S21" s="50">
        <f>(IF(COUNTIF(JF,Horaires356734[[#This Row],[Date]]),MAX(0,MIN(fin_dimJF,Horaires356734[[#This Row],[Fin corrigée si nuit]])-MAX(deb_dimJF,Horaires356734[[#This Row],[début]])),0)+IF(COUNTIF(JF,Horaires356734[[#This Row],[Date]]+1),MAX(0,Horaires356734[[#This Row],[Fin corrigée si nuit]]-(1+deb_dimJF)),0))*24-
(IF(COUNTIF(JF,Horaires356734[[#This Row],[Date]]),MAX(0,MIN(fin_dimJF,Horaires356734[[#This Row],[PNP Fin corrigée]])-MAX(deb_dimJF,Horaires356734[[#This Row],[PNP Début corrigé]])),0)+IF(COUNTIF(JF,Horaires356734[[#This Row],[Date]]+1),MAX(0,Horaires356734[[#This Row],[PNP Fin corrigée]]-(1+deb_dimJF)),0))*24</f>
        <v>0</v>
      </c>
    </row>
    <row r="22" spans="1:19" x14ac:dyDescent="0.35">
      <c r="A22" s="5"/>
      <c r="B22" s="1"/>
      <c r="C22" s="13"/>
      <c r="D22" s="13"/>
      <c r="E22" s="3"/>
      <c r="F22" s="3"/>
      <c r="G22" s="3"/>
      <c r="H22" s="3"/>
      <c r="I22" s="51">
        <f>0.1*(Horaires356734[[#This Row],[Heures de nuit]]+Horaires356734[[#This Row],[heures jour dimanche]]+Horaires356734[[#This Row],[heures jour fériés]])</f>
        <v>0</v>
      </c>
      <c r="J22" s="52">
        <f>(MOD(Horaires356734[[#This Row],[Fin]]-Horaires356734[[#This Row],[début]],1)-MOD(Horaires356734[[#This Row],[PNP Fin]]-Horaires356734[[#This Row],[PNP Début]],1))*24</f>
        <v>0</v>
      </c>
      <c r="K22" s="53">
        <f>IF(Horaires356734[[#This Row],[PNP Début]]=0,0,IF(Horaires356734[[#This Row],[PNP Début]]&lt;Horaires356734[[#This Row],[début]],1,0)+Horaires356734[[#This Row],[PNP Début]])</f>
        <v>0</v>
      </c>
      <c r="L22" s="54">
        <f>IF(Horaires356734[[#This Row],[PNP Fin]]=0,0,IF(Horaires356734[[#This Row],[PNP Fin]]&lt;Horaires356734[[#This Row],[début]],1,0)+Horaires356734[[#This Row],[PNP Fin]])</f>
        <v>0</v>
      </c>
      <c r="M22" s="54">
        <f>IF(Horaires356734[[#This Row],[Fin]]&lt;Horaires356734[[#This Row],[début]],1,0)+Horaires356734[[#This Row],[Fin]]</f>
        <v>0</v>
      </c>
      <c r="N22" s="35">
        <f>IF(Horaires356734[[#This Row],[Fin]]&lt;Horaires356734[[#This Row],[début]],MAX(0,MIN(Horaires356734[[#This Row],[Fin corrigée si nuit]],fin_nuit)-MAX(Horaires356734[[#This Row],[début]],deb_nuit))*24,(MAX(deb_nuit,Horaires356734[[#This Row],[Fin]])-MAX(deb_nuit,Horaires356734[[#This Row],[début]])+MAX(MIN(fin_nuit-1,Horaires356734[[#This Row],[Fin]])-MIN(fin_nuit-1,Horaires356734[[#This Row],[début]]),0))*24)</f>
        <v>0</v>
      </c>
      <c r="O22" s="55">
        <f>(MAX(0,MIN(Horaires356734[[#This Row],[Fin corrigée si nuit]],fin_nuit)-MAX(Horaires356734[[#This Row],[début]],deb_nuit))-IF(Horaires356734[[#This Row],[PNP Début]]=0,0,MIN(Horaires356734[[#This Row],[PNP Fin corrigée]],fin_nuit)-MAX(Horaires356734[[#This Row],[PNP Début corrigé]],deb_nuit)))*24</f>
        <v>0</v>
      </c>
      <c r="P22" s="55">
        <f>(IF(WEEKDAY(Horaires356734[[#This Row],[Date]],2)=7,MAX(0,MIN(fin_dimJF,Horaires356734[[#This Row],[Fin corrigée si nuit]])-MAX(deb_dimJF,Horaires356734[[#This Row],[début]])),0)+IF(WEEKDAY(Horaires356734[[#This Row],[Date]],2)=6,MAX(0,Horaires356734[[#This Row],[Fin corrigée si nuit]]-(1+deb_dimJF)),0))*24</f>
        <v>0</v>
      </c>
      <c r="Q22" s="55">
        <f>(IF(WEEKDAY(Horaires356734[[#This Row],[Date]],2)=7,MAX(0,MIN(fin_dimJF,Horaires356734[[#This Row],[Fin corrigée si nuit]])-MAX(deb_dimJF,Horaires356734[[#This Row],[début]])),0)+IF(WEEKDAY(Horaires356734[[#This Row],[Date]],2)=6,MAX(0,Horaires356734[[#This Row],[Fin corrigée si nuit]]-(1+deb_dimJF)),0))*24-
(IF(WEEKDAY(Horaires356734[[#This Row],[Date]],2)=7,MAX(0,MIN(fin_dimJF,Horaires356734[[#This Row],[PNP Fin corrigée]])-MAX(deb_dimJF,Horaires356734[[#This Row],[PNP Début corrigé]])),0)+IF(WEEKDAY(Horaires356734[[#This Row],[Date]],2)=6,MAX(0,Horaires356734[[#This Row],[PNP Fin corrigée]]-(1+deb_dimJF)),0))*24</f>
        <v>0</v>
      </c>
      <c r="R22" s="55">
        <f>(IF(COUNTIF(JF,Horaires356734[[#This Row],[Date]]),MAX(0,MIN(fin_dimJF,Horaires356734[[#This Row],[Fin corrigée si nuit]])-MAX(deb_dimJF,Horaires356734[[#This Row],[début]])),0)+IF(COUNTIF(JF,Horaires356734[[#This Row],[Date]]+1),MAX(0,Horaires356734[[#This Row],[Fin corrigée si nuit]]-(1+deb_dimJF)),0))*24</f>
        <v>0</v>
      </c>
      <c r="S22" s="55">
        <f>(IF(COUNTIF(JF,Horaires356734[[#This Row],[Date]]),MAX(0,MIN(fin_dimJF,Horaires356734[[#This Row],[Fin corrigée si nuit]])-MAX(deb_dimJF,Horaires356734[[#This Row],[début]])),0)+IF(COUNTIF(JF,Horaires356734[[#This Row],[Date]]+1),MAX(0,Horaires356734[[#This Row],[Fin corrigée si nuit]]-(1+deb_dimJF)),0))*24-
(IF(COUNTIF(JF,Horaires356734[[#This Row],[Date]]),MAX(0,MIN(fin_dimJF,Horaires356734[[#This Row],[PNP Fin corrigée]])-MAX(deb_dimJF,Horaires356734[[#This Row],[PNP Début corrigé]])),0)+IF(COUNTIF(JF,Horaires356734[[#This Row],[Date]]+1),MAX(0,Horaires356734[[#This Row],[PNP Fin corrigée]]-(1+deb_dimJF)),0))*24</f>
        <v>0</v>
      </c>
    </row>
    <row r="23" spans="1:19" x14ac:dyDescent="0.35">
      <c r="A23" s="5"/>
      <c r="B23" s="1"/>
      <c r="C23" s="13"/>
      <c r="D23" s="13"/>
      <c r="E23" s="3"/>
      <c r="F23" s="3"/>
      <c r="G23" s="3"/>
      <c r="H23" s="3"/>
      <c r="I23" s="51">
        <f>0.1*(Horaires356734[[#This Row],[Heures de nuit]]+Horaires356734[[#This Row],[heures jour dimanche]]+Horaires356734[[#This Row],[heures jour fériés]])</f>
        <v>0</v>
      </c>
      <c r="J23" s="52">
        <f>(MOD(Horaires356734[[#This Row],[Fin]]-Horaires356734[[#This Row],[début]],1)-MOD(Horaires356734[[#This Row],[PNP Fin]]-Horaires356734[[#This Row],[PNP Début]],1))*24</f>
        <v>0</v>
      </c>
      <c r="K23" s="53">
        <f>IF(Horaires356734[[#This Row],[PNP Début]]=0,0,IF(Horaires356734[[#This Row],[PNP Début]]&lt;Horaires356734[[#This Row],[début]],1,0)+Horaires356734[[#This Row],[PNP Début]])</f>
        <v>0</v>
      </c>
      <c r="L23" s="54">
        <f>IF(Horaires356734[[#This Row],[PNP Fin]]=0,0,IF(Horaires356734[[#This Row],[PNP Fin]]&lt;Horaires356734[[#This Row],[début]],1,0)+Horaires356734[[#This Row],[PNP Fin]])</f>
        <v>0</v>
      </c>
      <c r="M23" s="54">
        <f>IF(Horaires356734[[#This Row],[Fin]]&lt;Horaires356734[[#This Row],[début]],1,0)+Horaires356734[[#This Row],[Fin]]</f>
        <v>0</v>
      </c>
      <c r="N23" s="35">
        <f>IF(Horaires356734[[#This Row],[Fin]]&lt;Horaires356734[[#This Row],[début]],MAX(0,MIN(Horaires356734[[#This Row],[Fin corrigée si nuit]],fin_nuit)-MAX(Horaires356734[[#This Row],[début]],deb_nuit))*24,(MAX(deb_nuit,Horaires356734[[#This Row],[Fin]])-MAX(deb_nuit,Horaires356734[[#This Row],[début]])+MAX(MIN(fin_nuit-1,Horaires356734[[#This Row],[Fin]])-MIN(fin_nuit-1,Horaires356734[[#This Row],[début]]),0))*24)</f>
        <v>0</v>
      </c>
      <c r="O23" s="55">
        <f>(MAX(0,MIN(Horaires356734[[#This Row],[Fin corrigée si nuit]],fin_nuit)-MAX(Horaires356734[[#This Row],[début]],deb_nuit))-IF(Horaires356734[[#This Row],[PNP Début]]=0,0,MIN(Horaires356734[[#This Row],[PNP Fin corrigée]],fin_nuit)-MAX(Horaires356734[[#This Row],[PNP Début corrigé]],deb_nuit)))*24</f>
        <v>0</v>
      </c>
      <c r="P23" s="55">
        <f>(IF(WEEKDAY(Horaires356734[[#This Row],[Date]],2)=7,MAX(0,MIN(fin_dimJF,Horaires356734[[#This Row],[Fin corrigée si nuit]])-MAX(deb_dimJF,Horaires356734[[#This Row],[début]])),0)+IF(WEEKDAY(Horaires356734[[#This Row],[Date]],2)=6,MAX(0,Horaires356734[[#This Row],[Fin corrigée si nuit]]-(1+deb_dimJF)),0))*24</f>
        <v>0</v>
      </c>
      <c r="Q23" s="55">
        <f>(IF(WEEKDAY(Horaires356734[[#This Row],[Date]],2)=7,MAX(0,MIN(fin_dimJF,Horaires356734[[#This Row],[Fin corrigée si nuit]])-MAX(deb_dimJF,Horaires356734[[#This Row],[début]])),0)+IF(WEEKDAY(Horaires356734[[#This Row],[Date]],2)=6,MAX(0,Horaires356734[[#This Row],[Fin corrigée si nuit]]-(1+deb_dimJF)),0))*24-
(IF(WEEKDAY(Horaires356734[[#This Row],[Date]],2)=7,MAX(0,MIN(fin_dimJF,Horaires356734[[#This Row],[PNP Fin corrigée]])-MAX(deb_dimJF,Horaires356734[[#This Row],[PNP Début corrigé]])),0)+IF(WEEKDAY(Horaires356734[[#This Row],[Date]],2)=6,MAX(0,Horaires356734[[#This Row],[PNP Fin corrigée]]-(1+deb_dimJF)),0))*24</f>
        <v>0</v>
      </c>
      <c r="R23" s="55">
        <f>(IF(COUNTIF(JF,Horaires356734[[#This Row],[Date]]),MAX(0,MIN(fin_dimJF,Horaires356734[[#This Row],[Fin corrigée si nuit]])-MAX(deb_dimJF,Horaires356734[[#This Row],[début]])),0)+IF(COUNTIF(JF,Horaires356734[[#This Row],[Date]]+1),MAX(0,Horaires356734[[#This Row],[Fin corrigée si nuit]]-(1+deb_dimJF)),0))*24</f>
        <v>0</v>
      </c>
      <c r="S23" s="55">
        <f>(IF(COUNTIF(JF,Horaires356734[[#This Row],[Date]]),MAX(0,MIN(fin_dimJF,Horaires356734[[#This Row],[Fin corrigée si nuit]])-MAX(deb_dimJF,Horaires356734[[#This Row],[début]])),0)+IF(COUNTIF(JF,Horaires356734[[#This Row],[Date]]+1),MAX(0,Horaires356734[[#This Row],[Fin corrigée si nuit]]-(1+deb_dimJF)),0))*24-
(IF(COUNTIF(JF,Horaires356734[[#This Row],[Date]]),MAX(0,MIN(fin_dimJF,Horaires356734[[#This Row],[PNP Fin corrigée]])-MAX(deb_dimJF,Horaires356734[[#This Row],[PNP Début corrigé]])),0)+IF(COUNTIF(JF,Horaires356734[[#This Row],[Date]]+1),MAX(0,Horaires356734[[#This Row],[PNP Fin corrigée]]-(1+deb_dimJF)),0))*24</f>
        <v>0</v>
      </c>
    </row>
    <row r="24" spans="1:19" x14ac:dyDescent="0.35">
      <c r="A24" s="5"/>
      <c r="B24" s="1"/>
      <c r="C24" s="2"/>
      <c r="D24" s="2"/>
      <c r="E24" s="3"/>
      <c r="F24" s="3"/>
      <c r="G24" s="3"/>
      <c r="H24" s="3"/>
      <c r="I24" s="51">
        <f>0.1*(Horaires356734[[#This Row],[Heures de nuit]]+Horaires356734[[#This Row],[heures jour dimanche]]+Horaires356734[[#This Row],[heures jour fériés]])</f>
        <v>0</v>
      </c>
      <c r="J24" s="52">
        <f>(MOD(Horaires356734[[#This Row],[Fin]]-Horaires356734[[#This Row],[début]],1)-MOD(Horaires356734[[#This Row],[PNP Fin]]-Horaires356734[[#This Row],[PNP Début]],1))*24</f>
        <v>0</v>
      </c>
      <c r="K24" s="53">
        <f>IF(Horaires356734[[#This Row],[PNP Début]]=0,0,IF(Horaires356734[[#This Row],[PNP Début]]&lt;Horaires356734[[#This Row],[début]],1,0)+Horaires356734[[#This Row],[PNP Début]])</f>
        <v>0</v>
      </c>
      <c r="L24" s="54">
        <f>IF(Horaires356734[[#This Row],[PNP Fin]]=0,0,IF(Horaires356734[[#This Row],[PNP Fin]]&lt;Horaires356734[[#This Row],[début]],1,0)+Horaires356734[[#This Row],[PNP Fin]])</f>
        <v>0</v>
      </c>
      <c r="M24" s="54">
        <f>IF(Horaires356734[[#This Row],[Fin]]&lt;Horaires356734[[#This Row],[début]],1,0)+Horaires356734[[#This Row],[Fin]]</f>
        <v>0</v>
      </c>
      <c r="N24" s="35">
        <f>IF(Horaires356734[[#This Row],[Fin]]&lt;Horaires356734[[#This Row],[début]],MAX(0,MIN(Horaires356734[[#This Row],[Fin corrigée si nuit]],fin_nuit)-MAX(Horaires356734[[#This Row],[début]],deb_nuit))*24,(MAX(deb_nuit,Horaires356734[[#This Row],[Fin]])-MAX(deb_nuit,Horaires356734[[#This Row],[début]])+MAX(MIN(fin_nuit-1,Horaires356734[[#This Row],[Fin]])-MIN(fin_nuit-1,Horaires356734[[#This Row],[début]]),0))*24)</f>
        <v>0</v>
      </c>
      <c r="O24" s="55">
        <f>(MAX(0,MIN(Horaires356734[[#This Row],[Fin corrigée si nuit]],fin_nuit)-MAX(Horaires356734[[#This Row],[début]],deb_nuit))-IF(Horaires356734[[#This Row],[PNP Début]]=0,0,MIN(Horaires356734[[#This Row],[PNP Fin corrigée]],fin_nuit)-MAX(Horaires356734[[#This Row],[PNP Début corrigé]],deb_nuit)))*24</f>
        <v>0</v>
      </c>
      <c r="P24" s="55">
        <f>(IF(WEEKDAY(Horaires356734[[#This Row],[Date]],2)=7,MAX(0,MIN(fin_dimJF,Horaires356734[[#This Row],[Fin corrigée si nuit]])-MAX(deb_dimJF,Horaires356734[[#This Row],[début]])),0)+IF(WEEKDAY(Horaires356734[[#This Row],[Date]],2)=6,MAX(0,Horaires356734[[#This Row],[Fin corrigée si nuit]]-(1+deb_dimJF)),0))*24</f>
        <v>0</v>
      </c>
      <c r="Q24" s="55">
        <f>(IF(WEEKDAY(Horaires356734[[#This Row],[Date]],2)=7,MAX(0,MIN(fin_dimJF,Horaires356734[[#This Row],[Fin corrigée si nuit]])-MAX(deb_dimJF,Horaires356734[[#This Row],[début]])),0)+IF(WEEKDAY(Horaires356734[[#This Row],[Date]],2)=6,MAX(0,Horaires356734[[#This Row],[Fin corrigée si nuit]]-(1+deb_dimJF)),0))*24-
(IF(WEEKDAY(Horaires356734[[#This Row],[Date]],2)=7,MAX(0,MIN(fin_dimJF,Horaires356734[[#This Row],[PNP Fin corrigée]])-MAX(deb_dimJF,Horaires356734[[#This Row],[PNP Début corrigé]])),0)+IF(WEEKDAY(Horaires356734[[#This Row],[Date]],2)=6,MAX(0,Horaires356734[[#This Row],[PNP Fin corrigée]]-(1+deb_dimJF)),0))*24</f>
        <v>0</v>
      </c>
      <c r="R24" s="55">
        <f>(IF(COUNTIF(JF,Horaires356734[[#This Row],[Date]]),MAX(0,MIN(fin_dimJF,Horaires356734[[#This Row],[Fin corrigée si nuit]])-MAX(deb_dimJF,Horaires356734[[#This Row],[début]])),0)+IF(COUNTIF(JF,Horaires356734[[#This Row],[Date]]+1),MAX(0,Horaires356734[[#This Row],[Fin corrigée si nuit]]-(1+deb_dimJF)),0))*24</f>
        <v>0</v>
      </c>
      <c r="S24" s="55">
        <f>(IF(COUNTIF(JF,Horaires356734[[#This Row],[Date]]),MAX(0,MIN(fin_dimJF,Horaires356734[[#This Row],[Fin corrigée si nuit]])-MAX(deb_dimJF,Horaires356734[[#This Row],[début]])),0)+IF(COUNTIF(JF,Horaires356734[[#This Row],[Date]]+1),MAX(0,Horaires356734[[#This Row],[Fin corrigée si nuit]]-(1+deb_dimJF)),0))*24-
(IF(COUNTIF(JF,Horaires356734[[#This Row],[Date]]),MAX(0,MIN(fin_dimJF,Horaires356734[[#This Row],[PNP Fin corrigée]])-MAX(deb_dimJF,Horaires356734[[#This Row],[PNP Début corrigé]])),0)+IF(COUNTIF(JF,Horaires356734[[#This Row],[Date]]+1),MAX(0,Horaires356734[[#This Row],[PNP Fin corrigée]]-(1+deb_dimJF)),0))*24</f>
        <v>0</v>
      </c>
    </row>
    <row r="25" spans="1:19" x14ac:dyDescent="0.35">
      <c r="A25" s="5"/>
      <c r="B25" s="1"/>
      <c r="C25" s="2"/>
      <c r="D25" s="2"/>
      <c r="E25" s="3"/>
      <c r="F25" s="3"/>
      <c r="G25" s="3"/>
      <c r="H25" s="3"/>
      <c r="I25" s="51">
        <f>0.1*(Horaires356734[[#This Row],[Heures de nuit]]+Horaires356734[[#This Row],[heures jour dimanche]]+Horaires356734[[#This Row],[heures jour fériés]])</f>
        <v>0</v>
      </c>
      <c r="J25" s="52">
        <f>(MOD(Horaires356734[[#This Row],[Fin]]-Horaires356734[[#This Row],[début]],1)-MOD(Horaires356734[[#This Row],[PNP Fin]]-Horaires356734[[#This Row],[PNP Début]],1))*24</f>
        <v>0</v>
      </c>
      <c r="K25" s="53">
        <f>IF(Horaires356734[[#This Row],[PNP Début]]=0,0,IF(Horaires356734[[#This Row],[PNP Début]]&lt;Horaires356734[[#This Row],[début]],1,0)+Horaires356734[[#This Row],[PNP Début]])</f>
        <v>0</v>
      </c>
      <c r="L25" s="54">
        <f>IF(Horaires356734[[#This Row],[PNP Fin]]=0,0,IF(Horaires356734[[#This Row],[PNP Fin]]&lt;Horaires356734[[#This Row],[début]],1,0)+Horaires356734[[#This Row],[PNP Fin]])</f>
        <v>0</v>
      </c>
      <c r="M25" s="54">
        <f>IF(Horaires356734[[#This Row],[Fin]]&lt;Horaires356734[[#This Row],[début]],1,0)+Horaires356734[[#This Row],[Fin]]</f>
        <v>0</v>
      </c>
      <c r="N25" s="35">
        <f>IF(Horaires356734[[#This Row],[Fin]]&lt;Horaires356734[[#This Row],[début]],MAX(0,MIN(Horaires356734[[#This Row],[Fin corrigée si nuit]],fin_nuit)-MAX(Horaires356734[[#This Row],[début]],deb_nuit))*24,(MAX(deb_nuit,Horaires356734[[#This Row],[Fin]])-MAX(deb_nuit,Horaires356734[[#This Row],[début]])+MAX(MIN(fin_nuit-1,Horaires356734[[#This Row],[Fin]])-MIN(fin_nuit-1,Horaires356734[[#This Row],[début]]),0))*24)</f>
        <v>0</v>
      </c>
      <c r="O25" s="55">
        <f>(MAX(0,MIN(Horaires356734[[#This Row],[Fin corrigée si nuit]],fin_nuit)-MAX(Horaires356734[[#This Row],[début]],deb_nuit))-IF(Horaires356734[[#This Row],[PNP Début]]=0,0,MIN(Horaires356734[[#This Row],[PNP Fin corrigée]],fin_nuit)-MAX(Horaires356734[[#This Row],[PNP Début corrigé]],deb_nuit)))*24</f>
        <v>0</v>
      </c>
      <c r="P25" s="55">
        <f>(IF(WEEKDAY(Horaires356734[[#This Row],[Date]],2)=7,MAX(0,MIN(fin_dimJF,Horaires356734[[#This Row],[Fin corrigée si nuit]])-MAX(deb_dimJF,Horaires356734[[#This Row],[début]])),0)+IF(WEEKDAY(Horaires356734[[#This Row],[Date]],2)=6,MAX(0,Horaires356734[[#This Row],[Fin corrigée si nuit]]-(1+deb_dimJF)),0))*24</f>
        <v>0</v>
      </c>
      <c r="Q25" s="55">
        <f>(IF(WEEKDAY(Horaires356734[[#This Row],[Date]],2)=7,MAX(0,MIN(fin_dimJF,Horaires356734[[#This Row],[Fin corrigée si nuit]])-MAX(deb_dimJF,Horaires356734[[#This Row],[début]])),0)+IF(WEEKDAY(Horaires356734[[#This Row],[Date]],2)=6,MAX(0,Horaires356734[[#This Row],[Fin corrigée si nuit]]-(1+deb_dimJF)),0))*24-
(IF(WEEKDAY(Horaires356734[[#This Row],[Date]],2)=7,MAX(0,MIN(fin_dimJF,Horaires356734[[#This Row],[PNP Fin corrigée]])-MAX(deb_dimJF,Horaires356734[[#This Row],[PNP Début corrigé]])),0)+IF(WEEKDAY(Horaires356734[[#This Row],[Date]],2)=6,MAX(0,Horaires356734[[#This Row],[PNP Fin corrigée]]-(1+deb_dimJF)),0))*24</f>
        <v>0</v>
      </c>
      <c r="R25" s="55">
        <f>(IF(COUNTIF(JF,Horaires356734[[#This Row],[Date]]),MAX(0,MIN(fin_dimJF,Horaires356734[[#This Row],[Fin corrigée si nuit]])-MAX(deb_dimJF,Horaires356734[[#This Row],[début]])),0)+IF(COUNTIF(JF,Horaires356734[[#This Row],[Date]]+1),MAX(0,Horaires356734[[#This Row],[Fin corrigée si nuit]]-(1+deb_dimJF)),0))*24</f>
        <v>0</v>
      </c>
      <c r="S25" s="55">
        <f>(IF(COUNTIF(JF,Horaires356734[[#This Row],[Date]]),MAX(0,MIN(fin_dimJF,Horaires356734[[#This Row],[Fin corrigée si nuit]])-MAX(deb_dimJF,Horaires356734[[#This Row],[début]])),0)+IF(COUNTIF(JF,Horaires356734[[#This Row],[Date]]+1),MAX(0,Horaires356734[[#This Row],[Fin corrigée si nuit]]-(1+deb_dimJF)),0))*24-
(IF(COUNTIF(JF,Horaires356734[[#This Row],[Date]]),MAX(0,MIN(fin_dimJF,Horaires356734[[#This Row],[PNP Fin corrigée]])-MAX(deb_dimJF,Horaires356734[[#This Row],[PNP Début corrigé]])),0)+IF(COUNTIF(JF,Horaires356734[[#This Row],[Date]]+1),MAX(0,Horaires356734[[#This Row],[PNP Fin corrigée]]-(1+deb_dimJF)),0))*24</f>
        <v>0</v>
      </c>
    </row>
    <row r="26" spans="1:19" ht="14.4" customHeight="1" x14ac:dyDescent="0.35">
      <c r="A26" s="5"/>
      <c r="B26" s="1"/>
      <c r="C26" s="2"/>
      <c r="D26" s="2"/>
      <c r="E26" s="3"/>
      <c r="F26" s="3"/>
      <c r="G26" s="3"/>
      <c r="H26" s="3"/>
      <c r="I26" s="51">
        <f>0.1*(Horaires356734[[#This Row],[Heures de nuit]]+Horaires356734[[#This Row],[heures jour dimanche]]+Horaires356734[[#This Row],[heures jour fériés]])</f>
        <v>0</v>
      </c>
      <c r="J26" s="52">
        <f>(MOD(Horaires356734[[#This Row],[Fin]]-Horaires356734[[#This Row],[début]],1)-MOD(Horaires356734[[#This Row],[PNP Fin]]-Horaires356734[[#This Row],[PNP Début]],1))*24</f>
        <v>0</v>
      </c>
      <c r="K26" s="53">
        <f>IF(Horaires356734[[#This Row],[PNP Début]]=0,0,IF(Horaires356734[[#This Row],[PNP Début]]&lt;Horaires356734[[#This Row],[début]],1,0)+Horaires356734[[#This Row],[PNP Début]])</f>
        <v>0</v>
      </c>
      <c r="L26" s="54">
        <f>IF(Horaires356734[[#This Row],[PNP Fin]]=0,0,IF(Horaires356734[[#This Row],[PNP Fin]]&lt;Horaires356734[[#This Row],[début]],1,0)+Horaires356734[[#This Row],[PNP Fin]])</f>
        <v>0</v>
      </c>
      <c r="M26" s="54">
        <f>IF(Horaires356734[[#This Row],[Fin]]&lt;Horaires356734[[#This Row],[début]],1,0)+Horaires356734[[#This Row],[Fin]]</f>
        <v>0</v>
      </c>
      <c r="N26" s="35">
        <f>IF(Horaires356734[[#This Row],[Fin]]&lt;Horaires356734[[#This Row],[début]],MAX(0,MIN(Horaires356734[[#This Row],[Fin corrigée si nuit]],fin_nuit)-MAX(Horaires356734[[#This Row],[début]],deb_nuit))*24,(MAX(deb_nuit,Horaires356734[[#This Row],[Fin]])-MAX(deb_nuit,Horaires356734[[#This Row],[début]])+MAX(MIN(fin_nuit-1,Horaires356734[[#This Row],[Fin]])-MIN(fin_nuit-1,Horaires356734[[#This Row],[début]]),0))*24)</f>
        <v>0</v>
      </c>
      <c r="O26" s="55">
        <f>(MAX(0,MIN(Horaires356734[[#This Row],[Fin corrigée si nuit]],fin_nuit)-MAX(Horaires356734[[#This Row],[début]],deb_nuit))-IF(Horaires356734[[#This Row],[PNP Début]]=0,0,MIN(Horaires356734[[#This Row],[PNP Fin corrigée]],fin_nuit)-MAX(Horaires356734[[#This Row],[PNP Début corrigé]],deb_nuit)))*24</f>
        <v>0</v>
      </c>
      <c r="P26" s="55">
        <f>(IF(WEEKDAY(Horaires356734[[#This Row],[Date]],2)=7,MAX(0,MIN(fin_dimJF,Horaires356734[[#This Row],[Fin corrigée si nuit]])-MAX(deb_dimJF,Horaires356734[[#This Row],[début]])),0)+IF(WEEKDAY(Horaires356734[[#This Row],[Date]],2)=6,MAX(0,Horaires356734[[#This Row],[Fin corrigée si nuit]]-(1+deb_dimJF)),0))*24</f>
        <v>0</v>
      </c>
      <c r="Q26" s="55">
        <f>(IF(WEEKDAY(Horaires356734[[#This Row],[Date]],2)=7,MAX(0,MIN(fin_dimJF,Horaires356734[[#This Row],[Fin corrigée si nuit]])-MAX(deb_dimJF,Horaires356734[[#This Row],[début]])),0)+IF(WEEKDAY(Horaires356734[[#This Row],[Date]],2)=6,MAX(0,Horaires356734[[#This Row],[Fin corrigée si nuit]]-(1+deb_dimJF)),0))*24-
(IF(WEEKDAY(Horaires356734[[#This Row],[Date]],2)=7,MAX(0,MIN(fin_dimJF,Horaires356734[[#This Row],[PNP Fin corrigée]])-MAX(deb_dimJF,Horaires356734[[#This Row],[PNP Début corrigé]])),0)+IF(WEEKDAY(Horaires356734[[#This Row],[Date]],2)=6,MAX(0,Horaires356734[[#This Row],[PNP Fin corrigée]]-(1+deb_dimJF)),0))*24</f>
        <v>0</v>
      </c>
      <c r="R26" s="55">
        <f>(IF(COUNTIF(JF,Horaires356734[[#This Row],[Date]]),MAX(0,MIN(fin_dimJF,Horaires356734[[#This Row],[Fin corrigée si nuit]])-MAX(deb_dimJF,Horaires356734[[#This Row],[début]])),0)+IF(COUNTIF(JF,Horaires356734[[#This Row],[Date]]+1),MAX(0,Horaires356734[[#This Row],[Fin corrigée si nuit]]-(1+deb_dimJF)),0))*24</f>
        <v>0</v>
      </c>
      <c r="S26" s="55">
        <f>(IF(COUNTIF(JF,Horaires356734[[#This Row],[Date]]),MAX(0,MIN(fin_dimJF,Horaires356734[[#This Row],[Fin corrigée si nuit]])-MAX(deb_dimJF,Horaires356734[[#This Row],[début]])),0)+IF(COUNTIF(JF,Horaires356734[[#This Row],[Date]]+1),MAX(0,Horaires356734[[#This Row],[Fin corrigée si nuit]]-(1+deb_dimJF)),0))*24-
(IF(COUNTIF(JF,Horaires356734[[#This Row],[Date]]),MAX(0,MIN(fin_dimJF,Horaires356734[[#This Row],[PNP Fin corrigée]])-MAX(deb_dimJF,Horaires356734[[#This Row],[PNP Début corrigé]])),0)+IF(COUNTIF(JF,Horaires356734[[#This Row],[Date]]+1),MAX(0,Horaires356734[[#This Row],[PNP Fin corrigée]]-(1+deb_dimJF)),0))*24</f>
        <v>0</v>
      </c>
    </row>
    <row r="27" spans="1:19" x14ac:dyDescent="0.35">
      <c r="A27" s="5"/>
      <c r="B27" s="1"/>
      <c r="C27" s="2"/>
      <c r="D27" s="2"/>
      <c r="E27" s="3"/>
      <c r="F27" s="3"/>
      <c r="G27" s="3"/>
      <c r="H27" s="3"/>
      <c r="I27" s="51">
        <f>0.1*(Horaires356734[[#This Row],[Heures de nuit]]+Horaires356734[[#This Row],[heures jour dimanche]]+Horaires356734[[#This Row],[heures jour fériés]])</f>
        <v>0</v>
      </c>
      <c r="J27" s="52">
        <f>(MOD(Horaires356734[[#This Row],[Fin]]-Horaires356734[[#This Row],[début]],1)-MOD(Horaires356734[[#This Row],[PNP Fin]]-Horaires356734[[#This Row],[PNP Début]],1))*24</f>
        <v>0</v>
      </c>
      <c r="K27" s="53">
        <f>IF(Horaires356734[[#This Row],[PNP Début]]=0,0,IF(Horaires356734[[#This Row],[PNP Début]]&lt;Horaires356734[[#This Row],[début]],1,0)+Horaires356734[[#This Row],[PNP Début]])</f>
        <v>0</v>
      </c>
      <c r="L27" s="54">
        <f>IF(Horaires356734[[#This Row],[PNP Fin]]=0,0,IF(Horaires356734[[#This Row],[PNP Fin]]&lt;Horaires356734[[#This Row],[début]],1,0)+Horaires356734[[#This Row],[PNP Fin]])</f>
        <v>0</v>
      </c>
      <c r="M27" s="54">
        <f>IF(Horaires356734[[#This Row],[Fin]]&lt;Horaires356734[[#This Row],[début]],1,0)+Horaires356734[[#This Row],[Fin]]</f>
        <v>0</v>
      </c>
      <c r="N27" s="35">
        <f>IF(Horaires356734[[#This Row],[Fin]]&lt;Horaires356734[[#This Row],[début]],MAX(0,MIN(Horaires356734[[#This Row],[Fin corrigée si nuit]],fin_nuit)-MAX(Horaires356734[[#This Row],[début]],deb_nuit))*24,(MAX(deb_nuit,Horaires356734[[#This Row],[Fin]])-MAX(deb_nuit,Horaires356734[[#This Row],[début]])+MAX(MIN(fin_nuit-1,Horaires356734[[#This Row],[Fin]])-MIN(fin_nuit-1,Horaires356734[[#This Row],[début]]),0))*24)</f>
        <v>0</v>
      </c>
      <c r="O27" s="55">
        <f>(MAX(0,MIN(Horaires356734[[#This Row],[Fin corrigée si nuit]],fin_nuit)-MAX(Horaires356734[[#This Row],[début]],deb_nuit))-IF(Horaires356734[[#This Row],[PNP Début]]=0,0,MIN(Horaires356734[[#This Row],[PNP Fin corrigée]],fin_nuit)-MAX(Horaires356734[[#This Row],[PNP Début corrigé]],deb_nuit)))*24</f>
        <v>0</v>
      </c>
      <c r="P27" s="55">
        <f>(IF(WEEKDAY(Horaires356734[[#This Row],[Date]],2)=7,MAX(0,MIN(fin_dimJF,Horaires356734[[#This Row],[Fin corrigée si nuit]])-MAX(deb_dimJF,Horaires356734[[#This Row],[début]])),0)+IF(WEEKDAY(Horaires356734[[#This Row],[Date]],2)=6,MAX(0,Horaires356734[[#This Row],[Fin corrigée si nuit]]-(1+deb_dimJF)),0))*24</f>
        <v>0</v>
      </c>
      <c r="Q27" s="55">
        <f>(IF(WEEKDAY(Horaires356734[[#This Row],[Date]],2)=7,MAX(0,MIN(fin_dimJF,Horaires356734[[#This Row],[Fin corrigée si nuit]])-MAX(deb_dimJF,Horaires356734[[#This Row],[début]])),0)+IF(WEEKDAY(Horaires356734[[#This Row],[Date]],2)=6,MAX(0,Horaires356734[[#This Row],[Fin corrigée si nuit]]-(1+deb_dimJF)),0))*24-
(IF(WEEKDAY(Horaires356734[[#This Row],[Date]],2)=7,MAX(0,MIN(fin_dimJF,Horaires356734[[#This Row],[PNP Fin corrigée]])-MAX(deb_dimJF,Horaires356734[[#This Row],[PNP Début corrigé]])),0)+IF(WEEKDAY(Horaires356734[[#This Row],[Date]],2)=6,MAX(0,Horaires356734[[#This Row],[PNP Fin corrigée]]-(1+deb_dimJF)),0))*24</f>
        <v>0</v>
      </c>
      <c r="R27" s="55">
        <f>(IF(COUNTIF(JF,Horaires356734[[#This Row],[Date]]),MAX(0,MIN(fin_dimJF,Horaires356734[[#This Row],[Fin corrigée si nuit]])-MAX(deb_dimJF,Horaires356734[[#This Row],[début]])),0)+IF(COUNTIF(JF,Horaires356734[[#This Row],[Date]]+1),MAX(0,Horaires356734[[#This Row],[Fin corrigée si nuit]]-(1+deb_dimJF)),0))*24</f>
        <v>0</v>
      </c>
      <c r="S27" s="55">
        <f>(IF(COUNTIF(JF,Horaires356734[[#This Row],[Date]]),MAX(0,MIN(fin_dimJF,Horaires356734[[#This Row],[Fin corrigée si nuit]])-MAX(deb_dimJF,Horaires356734[[#This Row],[début]])),0)+IF(COUNTIF(JF,Horaires356734[[#This Row],[Date]]+1),MAX(0,Horaires356734[[#This Row],[Fin corrigée si nuit]]-(1+deb_dimJF)),0))*24-
(IF(COUNTIF(JF,Horaires356734[[#This Row],[Date]]),MAX(0,MIN(fin_dimJF,Horaires356734[[#This Row],[PNP Fin corrigée]])-MAX(deb_dimJF,Horaires356734[[#This Row],[PNP Début corrigé]])),0)+IF(COUNTIF(JF,Horaires356734[[#This Row],[Date]]+1),MAX(0,Horaires356734[[#This Row],[PNP Fin corrigée]]-(1+deb_dimJF)),0))*24</f>
        <v>0</v>
      </c>
    </row>
    <row r="28" spans="1:19" x14ac:dyDescent="0.35">
      <c r="A28" s="5"/>
      <c r="B28" s="1"/>
      <c r="C28" s="2"/>
      <c r="D28" s="2"/>
      <c r="E28" s="3"/>
      <c r="F28" s="3"/>
      <c r="G28" s="3"/>
      <c r="H28" s="3"/>
      <c r="I28" s="51">
        <f>0.1*(Horaires356734[[#This Row],[Heures de nuit]]+Horaires356734[[#This Row],[heures jour dimanche]]+Horaires356734[[#This Row],[heures jour fériés]])</f>
        <v>0</v>
      </c>
      <c r="J28" s="52">
        <f>(MOD(Horaires356734[[#This Row],[Fin]]-Horaires356734[[#This Row],[début]],1)-MOD(Horaires356734[[#This Row],[PNP Fin]]-Horaires356734[[#This Row],[PNP Début]],1))*24</f>
        <v>0</v>
      </c>
      <c r="K28" s="53">
        <f>IF(Horaires356734[[#This Row],[PNP Début]]=0,0,IF(Horaires356734[[#This Row],[PNP Début]]&lt;Horaires356734[[#This Row],[début]],1,0)+Horaires356734[[#This Row],[PNP Début]])</f>
        <v>0</v>
      </c>
      <c r="L28" s="54">
        <f>IF(Horaires356734[[#This Row],[PNP Fin]]=0,0,IF(Horaires356734[[#This Row],[PNP Fin]]&lt;Horaires356734[[#This Row],[début]],1,0)+Horaires356734[[#This Row],[PNP Fin]])</f>
        <v>0</v>
      </c>
      <c r="M28" s="54">
        <f>IF(Horaires356734[[#This Row],[Fin]]&lt;Horaires356734[[#This Row],[début]],1,0)+Horaires356734[[#This Row],[Fin]]</f>
        <v>0</v>
      </c>
      <c r="N28" s="35">
        <f>IF(Horaires356734[[#This Row],[Fin]]&lt;Horaires356734[[#This Row],[début]],MAX(0,MIN(Horaires356734[[#This Row],[Fin corrigée si nuit]],fin_nuit)-MAX(Horaires356734[[#This Row],[début]],deb_nuit))*24,(MAX(deb_nuit,Horaires356734[[#This Row],[Fin]])-MAX(deb_nuit,Horaires356734[[#This Row],[début]])+MAX(MIN(fin_nuit-1,Horaires356734[[#This Row],[Fin]])-MIN(fin_nuit-1,Horaires356734[[#This Row],[début]]),0))*24)</f>
        <v>0</v>
      </c>
      <c r="O28" s="55">
        <f>(MAX(0,MIN(Horaires356734[[#This Row],[Fin corrigée si nuit]],fin_nuit)-MAX(Horaires356734[[#This Row],[début]],deb_nuit))-IF(Horaires356734[[#This Row],[PNP Début]]=0,0,MIN(Horaires356734[[#This Row],[PNP Fin corrigée]],fin_nuit)-MAX(Horaires356734[[#This Row],[PNP Début corrigé]],deb_nuit)))*24</f>
        <v>0</v>
      </c>
      <c r="P28" s="55">
        <f>(IF(WEEKDAY(Horaires356734[[#This Row],[Date]],2)=7,MAX(0,MIN(fin_dimJF,Horaires356734[[#This Row],[Fin corrigée si nuit]])-MAX(deb_dimJF,Horaires356734[[#This Row],[début]])),0)+IF(WEEKDAY(Horaires356734[[#This Row],[Date]],2)=6,MAX(0,Horaires356734[[#This Row],[Fin corrigée si nuit]]-(1+deb_dimJF)),0))*24</f>
        <v>0</v>
      </c>
      <c r="Q28" s="55">
        <f>(IF(WEEKDAY(Horaires356734[[#This Row],[Date]],2)=7,MAX(0,MIN(fin_dimJF,Horaires356734[[#This Row],[Fin corrigée si nuit]])-MAX(deb_dimJF,Horaires356734[[#This Row],[début]])),0)+IF(WEEKDAY(Horaires356734[[#This Row],[Date]],2)=6,MAX(0,Horaires356734[[#This Row],[Fin corrigée si nuit]]-(1+deb_dimJF)),0))*24-
(IF(WEEKDAY(Horaires356734[[#This Row],[Date]],2)=7,MAX(0,MIN(fin_dimJF,Horaires356734[[#This Row],[PNP Fin corrigée]])-MAX(deb_dimJF,Horaires356734[[#This Row],[PNP Début corrigé]])),0)+IF(WEEKDAY(Horaires356734[[#This Row],[Date]],2)=6,MAX(0,Horaires356734[[#This Row],[PNP Fin corrigée]]-(1+deb_dimJF)),0))*24</f>
        <v>0</v>
      </c>
      <c r="R28" s="55">
        <f>(IF(COUNTIF(JF,Horaires356734[[#This Row],[Date]]),MAX(0,MIN(fin_dimJF,Horaires356734[[#This Row],[Fin corrigée si nuit]])-MAX(deb_dimJF,Horaires356734[[#This Row],[début]])),0)+IF(COUNTIF(JF,Horaires356734[[#This Row],[Date]]+1),MAX(0,Horaires356734[[#This Row],[Fin corrigée si nuit]]-(1+deb_dimJF)),0))*24</f>
        <v>0</v>
      </c>
      <c r="S28" s="55">
        <f>(IF(COUNTIF(JF,Horaires356734[[#This Row],[Date]]),MAX(0,MIN(fin_dimJF,Horaires356734[[#This Row],[Fin corrigée si nuit]])-MAX(deb_dimJF,Horaires356734[[#This Row],[début]])),0)+IF(COUNTIF(JF,Horaires356734[[#This Row],[Date]]+1),MAX(0,Horaires356734[[#This Row],[Fin corrigée si nuit]]-(1+deb_dimJF)),0))*24-
(IF(COUNTIF(JF,Horaires356734[[#This Row],[Date]]),MAX(0,MIN(fin_dimJF,Horaires356734[[#This Row],[PNP Fin corrigée]])-MAX(deb_dimJF,Horaires356734[[#This Row],[PNP Début corrigé]])),0)+IF(COUNTIF(JF,Horaires356734[[#This Row],[Date]]+1),MAX(0,Horaires356734[[#This Row],[PNP Fin corrigée]]-(1+deb_dimJF)),0))*24</f>
        <v>0</v>
      </c>
    </row>
    <row r="29" spans="1:19" x14ac:dyDescent="0.35">
      <c r="A29" s="5"/>
      <c r="B29" s="1"/>
      <c r="C29" s="2"/>
      <c r="D29" s="2"/>
      <c r="E29" s="3"/>
      <c r="F29" s="3"/>
      <c r="G29" s="3"/>
      <c r="H29" s="3"/>
      <c r="I29" s="51">
        <f>0.1*(Horaires356734[[#This Row],[Heures de nuit]]+Horaires356734[[#This Row],[heures jour dimanche]]+Horaires356734[[#This Row],[heures jour fériés]])</f>
        <v>0</v>
      </c>
      <c r="J29" s="52">
        <f>(MOD(Horaires356734[[#This Row],[Fin]]-Horaires356734[[#This Row],[début]],1)-MOD(Horaires356734[[#This Row],[PNP Fin]]-Horaires356734[[#This Row],[PNP Début]],1))*24</f>
        <v>0</v>
      </c>
      <c r="K29" s="53">
        <f>IF(Horaires356734[[#This Row],[PNP Début]]=0,0,IF(Horaires356734[[#This Row],[PNP Début]]&lt;Horaires356734[[#This Row],[début]],1,0)+Horaires356734[[#This Row],[PNP Début]])</f>
        <v>0</v>
      </c>
      <c r="L29" s="54">
        <f>IF(Horaires356734[[#This Row],[PNP Fin]]=0,0,IF(Horaires356734[[#This Row],[PNP Fin]]&lt;Horaires356734[[#This Row],[début]],1,0)+Horaires356734[[#This Row],[PNP Fin]])</f>
        <v>0</v>
      </c>
      <c r="M29" s="54">
        <f>IF(Horaires356734[[#This Row],[Fin]]&lt;Horaires356734[[#This Row],[début]],1,0)+Horaires356734[[#This Row],[Fin]]</f>
        <v>0</v>
      </c>
      <c r="N29" s="35">
        <f>IF(Horaires356734[[#This Row],[Fin]]&lt;Horaires356734[[#This Row],[début]],MAX(0,MIN(Horaires356734[[#This Row],[Fin corrigée si nuit]],fin_nuit)-MAX(Horaires356734[[#This Row],[début]],deb_nuit))*24,(MAX(deb_nuit,Horaires356734[[#This Row],[Fin]])-MAX(deb_nuit,Horaires356734[[#This Row],[début]])+MAX(MIN(fin_nuit-1,Horaires356734[[#This Row],[Fin]])-MIN(fin_nuit-1,Horaires356734[[#This Row],[début]]),0))*24)</f>
        <v>0</v>
      </c>
      <c r="O29" s="55">
        <f>(MAX(0,MIN(Horaires356734[[#This Row],[Fin corrigée si nuit]],fin_nuit)-MAX(Horaires356734[[#This Row],[début]],deb_nuit))-IF(Horaires356734[[#This Row],[PNP Début]]=0,0,MIN(Horaires356734[[#This Row],[PNP Fin corrigée]],fin_nuit)-MAX(Horaires356734[[#This Row],[PNP Début corrigé]],deb_nuit)))*24</f>
        <v>0</v>
      </c>
      <c r="P29" s="55">
        <f>(IF(WEEKDAY(Horaires356734[[#This Row],[Date]],2)=7,MAX(0,MIN(fin_dimJF,Horaires356734[[#This Row],[Fin corrigée si nuit]])-MAX(deb_dimJF,Horaires356734[[#This Row],[début]])),0)+IF(WEEKDAY(Horaires356734[[#This Row],[Date]],2)=6,MAX(0,Horaires356734[[#This Row],[Fin corrigée si nuit]]-(1+deb_dimJF)),0))*24</f>
        <v>0</v>
      </c>
      <c r="Q29" s="55">
        <f>(IF(WEEKDAY(Horaires356734[[#This Row],[Date]],2)=7,MAX(0,MIN(fin_dimJF,Horaires356734[[#This Row],[Fin corrigée si nuit]])-MAX(deb_dimJF,Horaires356734[[#This Row],[début]])),0)+IF(WEEKDAY(Horaires356734[[#This Row],[Date]],2)=6,MAX(0,Horaires356734[[#This Row],[Fin corrigée si nuit]]-(1+deb_dimJF)),0))*24-
(IF(WEEKDAY(Horaires356734[[#This Row],[Date]],2)=7,MAX(0,MIN(fin_dimJF,Horaires356734[[#This Row],[PNP Fin corrigée]])-MAX(deb_dimJF,Horaires356734[[#This Row],[PNP Début corrigé]])),0)+IF(WEEKDAY(Horaires356734[[#This Row],[Date]],2)=6,MAX(0,Horaires356734[[#This Row],[PNP Fin corrigée]]-(1+deb_dimJF)),0))*24</f>
        <v>0</v>
      </c>
      <c r="R29" s="55">
        <f>(IF(COUNTIF(JF,Horaires356734[[#This Row],[Date]]),MAX(0,MIN(fin_dimJF,Horaires356734[[#This Row],[Fin corrigée si nuit]])-MAX(deb_dimJF,Horaires356734[[#This Row],[début]])),0)+IF(COUNTIF(JF,Horaires356734[[#This Row],[Date]]+1),MAX(0,Horaires356734[[#This Row],[Fin corrigée si nuit]]-(1+deb_dimJF)),0))*24</f>
        <v>0</v>
      </c>
      <c r="S29" s="55">
        <f>(IF(COUNTIF(JF,Horaires356734[[#This Row],[Date]]),MAX(0,MIN(fin_dimJF,Horaires356734[[#This Row],[Fin corrigée si nuit]])-MAX(deb_dimJF,Horaires356734[[#This Row],[début]])),0)+IF(COUNTIF(JF,Horaires356734[[#This Row],[Date]]+1),MAX(0,Horaires356734[[#This Row],[Fin corrigée si nuit]]-(1+deb_dimJF)),0))*24-
(IF(COUNTIF(JF,Horaires356734[[#This Row],[Date]]),MAX(0,MIN(fin_dimJF,Horaires356734[[#This Row],[PNP Fin corrigée]])-MAX(deb_dimJF,Horaires356734[[#This Row],[PNP Début corrigé]])),0)+IF(COUNTIF(JF,Horaires356734[[#This Row],[Date]]+1),MAX(0,Horaires356734[[#This Row],[PNP Fin corrigée]]-(1+deb_dimJF)),0))*24</f>
        <v>0</v>
      </c>
    </row>
    <row r="30" spans="1:19" x14ac:dyDescent="0.35">
      <c r="A30" s="5"/>
      <c r="B30" s="1"/>
      <c r="C30" s="2"/>
      <c r="D30" s="2"/>
      <c r="E30" s="3"/>
      <c r="F30" s="3"/>
      <c r="G30" s="3"/>
      <c r="H30" s="3"/>
      <c r="I30" s="51">
        <f>0.1*(Horaires356734[[#This Row],[Heures de nuit]]+Horaires356734[[#This Row],[heures jour dimanche]]+Horaires356734[[#This Row],[heures jour fériés]])</f>
        <v>0</v>
      </c>
      <c r="J30" s="52">
        <f>(MOD(Horaires356734[[#This Row],[Fin]]-Horaires356734[[#This Row],[début]],1)-MOD(Horaires356734[[#This Row],[PNP Fin]]-Horaires356734[[#This Row],[PNP Début]],1))*24</f>
        <v>0</v>
      </c>
      <c r="K30" s="53">
        <f>IF(Horaires356734[[#This Row],[PNP Début]]=0,0,IF(Horaires356734[[#This Row],[PNP Début]]&lt;Horaires356734[[#This Row],[début]],1,0)+Horaires356734[[#This Row],[PNP Début]])</f>
        <v>0</v>
      </c>
      <c r="L30" s="54">
        <f>IF(Horaires356734[[#This Row],[PNP Fin]]=0,0,IF(Horaires356734[[#This Row],[PNP Fin]]&lt;Horaires356734[[#This Row],[début]],1,0)+Horaires356734[[#This Row],[PNP Fin]])</f>
        <v>0</v>
      </c>
      <c r="M30" s="54">
        <f>IF(Horaires356734[[#This Row],[Fin]]&lt;Horaires356734[[#This Row],[début]],1,0)+Horaires356734[[#This Row],[Fin]]</f>
        <v>0</v>
      </c>
      <c r="N30" s="35">
        <f>IF(Horaires356734[[#This Row],[Fin]]&lt;Horaires356734[[#This Row],[début]],MAX(0,MIN(Horaires356734[[#This Row],[Fin corrigée si nuit]],fin_nuit)-MAX(Horaires356734[[#This Row],[début]],deb_nuit))*24,(MAX(deb_nuit,Horaires356734[[#This Row],[Fin]])-MAX(deb_nuit,Horaires356734[[#This Row],[début]])+MAX(MIN(fin_nuit-1,Horaires356734[[#This Row],[Fin]])-MIN(fin_nuit-1,Horaires356734[[#This Row],[début]]),0))*24)</f>
        <v>0</v>
      </c>
      <c r="O30" s="55">
        <f>(MAX(0,MIN(Horaires356734[[#This Row],[Fin corrigée si nuit]],fin_nuit)-MAX(Horaires356734[[#This Row],[début]],deb_nuit))-IF(Horaires356734[[#This Row],[PNP Début]]=0,0,MIN(Horaires356734[[#This Row],[PNP Fin corrigée]],fin_nuit)-MAX(Horaires356734[[#This Row],[PNP Début corrigé]],deb_nuit)))*24</f>
        <v>0</v>
      </c>
      <c r="P30" s="55">
        <f>(IF(WEEKDAY(Horaires356734[[#This Row],[Date]],2)=7,MAX(0,MIN(fin_dimJF,Horaires356734[[#This Row],[Fin corrigée si nuit]])-MAX(deb_dimJF,Horaires356734[[#This Row],[début]])),0)+IF(WEEKDAY(Horaires356734[[#This Row],[Date]],2)=6,MAX(0,Horaires356734[[#This Row],[Fin corrigée si nuit]]-(1+deb_dimJF)),0))*24</f>
        <v>0</v>
      </c>
      <c r="Q30" s="55">
        <f>(IF(WEEKDAY(Horaires356734[[#This Row],[Date]],2)=7,MAX(0,MIN(fin_dimJF,Horaires356734[[#This Row],[Fin corrigée si nuit]])-MAX(deb_dimJF,Horaires356734[[#This Row],[début]])),0)+IF(WEEKDAY(Horaires356734[[#This Row],[Date]],2)=6,MAX(0,Horaires356734[[#This Row],[Fin corrigée si nuit]]-(1+deb_dimJF)),0))*24-
(IF(WEEKDAY(Horaires356734[[#This Row],[Date]],2)=7,MAX(0,MIN(fin_dimJF,Horaires356734[[#This Row],[PNP Fin corrigée]])-MAX(deb_dimJF,Horaires356734[[#This Row],[PNP Début corrigé]])),0)+IF(WEEKDAY(Horaires356734[[#This Row],[Date]],2)=6,MAX(0,Horaires356734[[#This Row],[PNP Fin corrigée]]-(1+deb_dimJF)),0))*24</f>
        <v>0</v>
      </c>
      <c r="R30" s="55">
        <f>(IF(COUNTIF(JF,Horaires356734[[#This Row],[Date]]),MAX(0,MIN(fin_dimJF,Horaires356734[[#This Row],[Fin corrigée si nuit]])-MAX(deb_dimJF,Horaires356734[[#This Row],[début]])),0)+IF(COUNTIF(JF,Horaires356734[[#This Row],[Date]]+1),MAX(0,Horaires356734[[#This Row],[Fin corrigée si nuit]]-(1+deb_dimJF)),0))*24</f>
        <v>0</v>
      </c>
      <c r="S30" s="55">
        <f>(IF(COUNTIF(JF,Horaires356734[[#This Row],[Date]]),MAX(0,MIN(fin_dimJF,Horaires356734[[#This Row],[Fin corrigée si nuit]])-MAX(deb_dimJF,Horaires356734[[#This Row],[début]])),0)+IF(COUNTIF(JF,Horaires356734[[#This Row],[Date]]+1),MAX(0,Horaires356734[[#This Row],[Fin corrigée si nuit]]-(1+deb_dimJF)),0))*24-
(IF(COUNTIF(JF,Horaires356734[[#This Row],[Date]]),MAX(0,MIN(fin_dimJF,Horaires356734[[#This Row],[PNP Fin corrigée]])-MAX(deb_dimJF,Horaires356734[[#This Row],[PNP Début corrigé]])),0)+IF(COUNTIF(JF,Horaires356734[[#This Row],[Date]]+1),MAX(0,Horaires356734[[#This Row],[PNP Fin corrigée]]-(1+deb_dimJF)),0))*24</f>
        <v>0</v>
      </c>
    </row>
    <row r="31" spans="1:19" x14ac:dyDescent="0.35">
      <c r="A31" s="5"/>
      <c r="B31" s="1"/>
      <c r="C31" s="2"/>
      <c r="D31" s="2"/>
      <c r="E31" s="3"/>
      <c r="F31" s="3"/>
      <c r="G31" s="3"/>
      <c r="H31" s="3"/>
      <c r="I31" s="51">
        <f>0.1*(Horaires356734[[#This Row],[Heures de nuit]]+Horaires356734[[#This Row],[heures jour dimanche]]+Horaires356734[[#This Row],[heures jour fériés]])</f>
        <v>0</v>
      </c>
      <c r="J31" s="52">
        <f>(MOD(Horaires356734[[#This Row],[Fin]]-Horaires356734[[#This Row],[début]],1)-MOD(Horaires356734[[#This Row],[PNP Fin]]-Horaires356734[[#This Row],[PNP Début]],1))*24</f>
        <v>0</v>
      </c>
      <c r="K31" s="53">
        <f>IF(Horaires356734[[#This Row],[PNP Début]]=0,0,IF(Horaires356734[[#This Row],[PNP Début]]&lt;Horaires356734[[#This Row],[début]],1,0)+Horaires356734[[#This Row],[PNP Début]])</f>
        <v>0</v>
      </c>
      <c r="L31" s="54">
        <f>IF(Horaires356734[[#This Row],[PNP Fin]]=0,0,IF(Horaires356734[[#This Row],[PNP Fin]]&lt;Horaires356734[[#This Row],[début]],1,0)+Horaires356734[[#This Row],[PNP Fin]])</f>
        <v>0</v>
      </c>
      <c r="M31" s="54">
        <f>IF(Horaires356734[[#This Row],[Fin]]&lt;Horaires356734[[#This Row],[début]],1,0)+Horaires356734[[#This Row],[Fin]]</f>
        <v>0</v>
      </c>
      <c r="N31" s="35">
        <f>IF(Horaires356734[[#This Row],[Fin]]&lt;Horaires356734[[#This Row],[début]],MAX(0,MIN(Horaires356734[[#This Row],[Fin corrigée si nuit]],fin_nuit)-MAX(Horaires356734[[#This Row],[début]],deb_nuit))*24,(MAX(deb_nuit,Horaires356734[[#This Row],[Fin]])-MAX(deb_nuit,Horaires356734[[#This Row],[début]])+MAX(MIN(fin_nuit-1,Horaires356734[[#This Row],[Fin]])-MIN(fin_nuit-1,Horaires356734[[#This Row],[début]]),0))*24)</f>
        <v>0</v>
      </c>
      <c r="O31" s="55">
        <f>(MAX(0,MIN(Horaires356734[[#This Row],[Fin corrigée si nuit]],fin_nuit)-MAX(Horaires356734[[#This Row],[début]],deb_nuit))-IF(Horaires356734[[#This Row],[PNP Début]]=0,0,MIN(Horaires356734[[#This Row],[PNP Fin corrigée]],fin_nuit)-MAX(Horaires356734[[#This Row],[PNP Début corrigé]],deb_nuit)))*24</f>
        <v>0</v>
      </c>
      <c r="P31" s="55">
        <f>(IF(WEEKDAY(Horaires356734[[#This Row],[Date]],2)=7,MAX(0,MIN(fin_dimJF,Horaires356734[[#This Row],[Fin corrigée si nuit]])-MAX(deb_dimJF,Horaires356734[[#This Row],[début]])),0)+IF(WEEKDAY(Horaires356734[[#This Row],[Date]],2)=6,MAX(0,Horaires356734[[#This Row],[Fin corrigée si nuit]]-(1+deb_dimJF)),0))*24</f>
        <v>0</v>
      </c>
      <c r="Q31" s="55">
        <f>(IF(WEEKDAY(Horaires356734[[#This Row],[Date]],2)=7,MAX(0,MIN(fin_dimJF,Horaires356734[[#This Row],[Fin corrigée si nuit]])-MAX(deb_dimJF,Horaires356734[[#This Row],[début]])),0)+IF(WEEKDAY(Horaires356734[[#This Row],[Date]],2)=6,MAX(0,Horaires356734[[#This Row],[Fin corrigée si nuit]]-(1+deb_dimJF)),0))*24-
(IF(WEEKDAY(Horaires356734[[#This Row],[Date]],2)=7,MAX(0,MIN(fin_dimJF,Horaires356734[[#This Row],[PNP Fin corrigée]])-MAX(deb_dimJF,Horaires356734[[#This Row],[PNP Début corrigé]])),0)+IF(WEEKDAY(Horaires356734[[#This Row],[Date]],2)=6,MAX(0,Horaires356734[[#This Row],[PNP Fin corrigée]]-(1+deb_dimJF)),0))*24</f>
        <v>0</v>
      </c>
      <c r="R31" s="55">
        <f>(IF(COUNTIF(JF,Horaires356734[[#This Row],[Date]]),MAX(0,MIN(fin_dimJF,Horaires356734[[#This Row],[Fin corrigée si nuit]])-MAX(deb_dimJF,Horaires356734[[#This Row],[début]])),0)+IF(COUNTIF(JF,Horaires356734[[#This Row],[Date]]+1),MAX(0,Horaires356734[[#This Row],[Fin corrigée si nuit]]-(1+deb_dimJF)),0))*24</f>
        <v>0</v>
      </c>
      <c r="S31" s="55">
        <f>(IF(COUNTIF(JF,Horaires356734[[#This Row],[Date]]),MAX(0,MIN(fin_dimJF,Horaires356734[[#This Row],[Fin corrigée si nuit]])-MAX(deb_dimJF,Horaires356734[[#This Row],[début]])),0)+IF(COUNTIF(JF,Horaires356734[[#This Row],[Date]]+1),MAX(0,Horaires356734[[#This Row],[Fin corrigée si nuit]]-(1+deb_dimJF)),0))*24-
(IF(COUNTIF(JF,Horaires356734[[#This Row],[Date]]),MAX(0,MIN(fin_dimJF,Horaires356734[[#This Row],[PNP Fin corrigée]])-MAX(deb_dimJF,Horaires356734[[#This Row],[PNP Début corrigé]])),0)+IF(COUNTIF(JF,Horaires356734[[#This Row],[Date]]+1),MAX(0,Horaires356734[[#This Row],[PNP Fin corrigée]]-(1+deb_dimJF)),0))*24</f>
        <v>0</v>
      </c>
    </row>
    <row r="32" spans="1:19" ht="14.5" customHeight="1" x14ac:dyDescent="0.35">
      <c r="A32" s="5"/>
      <c r="B32" s="1"/>
      <c r="C32" s="2"/>
      <c r="D32" s="2"/>
      <c r="E32" s="3"/>
      <c r="F32" s="3"/>
      <c r="G32" s="3"/>
      <c r="H32" s="3"/>
      <c r="I32" s="51">
        <f>0.1*(Horaires356734[[#This Row],[Heures de nuit]]+Horaires356734[[#This Row],[heures jour dimanche]]+Horaires356734[[#This Row],[heures jour fériés]])</f>
        <v>0</v>
      </c>
      <c r="J32" s="52">
        <f>(MOD(Horaires356734[[#This Row],[Fin]]-Horaires356734[[#This Row],[début]],1)-MOD(Horaires356734[[#This Row],[PNP Fin]]-Horaires356734[[#This Row],[PNP Début]],1))*24</f>
        <v>0</v>
      </c>
      <c r="K32" s="53">
        <f>IF(Horaires356734[[#This Row],[PNP Début]]=0,0,IF(Horaires356734[[#This Row],[PNP Début]]&lt;Horaires356734[[#This Row],[début]],1,0)+Horaires356734[[#This Row],[PNP Début]])</f>
        <v>0</v>
      </c>
      <c r="L32" s="54">
        <f>IF(Horaires356734[[#This Row],[PNP Fin]]=0,0,IF(Horaires356734[[#This Row],[PNP Fin]]&lt;Horaires356734[[#This Row],[début]],1,0)+Horaires356734[[#This Row],[PNP Fin]])</f>
        <v>0</v>
      </c>
      <c r="M32" s="54">
        <f>IF(Horaires356734[[#This Row],[Fin]]&lt;Horaires356734[[#This Row],[début]],1,0)+Horaires356734[[#This Row],[Fin]]</f>
        <v>0</v>
      </c>
      <c r="N32" s="35">
        <f>IF(Horaires356734[[#This Row],[Fin]]&lt;Horaires356734[[#This Row],[début]],MAX(0,MIN(Horaires356734[[#This Row],[Fin corrigée si nuit]],fin_nuit)-MAX(Horaires356734[[#This Row],[début]],deb_nuit))*24,(MAX(deb_nuit,Horaires356734[[#This Row],[Fin]])-MAX(deb_nuit,Horaires356734[[#This Row],[début]])+MAX(MIN(fin_nuit-1,Horaires356734[[#This Row],[Fin]])-MIN(fin_nuit-1,Horaires356734[[#This Row],[début]]),0))*24)</f>
        <v>0</v>
      </c>
      <c r="O32" s="55">
        <f>(MAX(0,MIN(Horaires356734[[#This Row],[Fin corrigée si nuit]],fin_nuit)-MAX(Horaires356734[[#This Row],[début]],deb_nuit))-IF(Horaires356734[[#This Row],[PNP Début]]=0,0,MIN(Horaires356734[[#This Row],[PNP Fin corrigée]],fin_nuit)-MAX(Horaires356734[[#This Row],[PNP Début corrigé]],deb_nuit)))*24</f>
        <v>0</v>
      </c>
      <c r="P32" s="55">
        <f>(IF(WEEKDAY(Horaires356734[[#This Row],[Date]],2)=7,MAX(0,MIN(fin_dimJF,Horaires356734[[#This Row],[Fin corrigée si nuit]])-MAX(deb_dimJF,Horaires356734[[#This Row],[début]])),0)+IF(WEEKDAY(Horaires356734[[#This Row],[Date]],2)=6,MAX(0,Horaires356734[[#This Row],[Fin corrigée si nuit]]-(1+deb_dimJF)),0))*24</f>
        <v>0</v>
      </c>
      <c r="Q32" s="55">
        <f>(IF(WEEKDAY(Horaires356734[[#This Row],[Date]],2)=7,MAX(0,MIN(fin_dimJF,Horaires356734[[#This Row],[Fin corrigée si nuit]])-MAX(deb_dimJF,Horaires356734[[#This Row],[début]])),0)+IF(WEEKDAY(Horaires356734[[#This Row],[Date]],2)=6,MAX(0,Horaires356734[[#This Row],[Fin corrigée si nuit]]-(1+deb_dimJF)),0))*24-
(IF(WEEKDAY(Horaires356734[[#This Row],[Date]],2)=7,MAX(0,MIN(fin_dimJF,Horaires356734[[#This Row],[PNP Fin corrigée]])-MAX(deb_dimJF,Horaires356734[[#This Row],[PNP Début corrigé]])),0)+IF(WEEKDAY(Horaires356734[[#This Row],[Date]],2)=6,MAX(0,Horaires356734[[#This Row],[PNP Fin corrigée]]-(1+deb_dimJF)),0))*24</f>
        <v>0</v>
      </c>
      <c r="R32" s="55">
        <f>(IF(COUNTIF(JF,Horaires356734[[#This Row],[Date]]),MAX(0,MIN(fin_dimJF,Horaires356734[[#This Row],[Fin corrigée si nuit]])-MAX(deb_dimJF,Horaires356734[[#This Row],[début]])),0)+IF(COUNTIF(JF,Horaires356734[[#This Row],[Date]]+1),MAX(0,Horaires356734[[#This Row],[Fin corrigée si nuit]]-(1+deb_dimJF)),0))*24</f>
        <v>0</v>
      </c>
      <c r="S32" s="55">
        <f>(IF(COUNTIF(JF,Horaires356734[[#This Row],[Date]]),MAX(0,MIN(fin_dimJF,Horaires356734[[#This Row],[Fin corrigée si nuit]])-MAX(deb_dimJF,Horaires356734[[#This Row],[début]])),0)+IF(COUNTIF(JF,Horaires356734[[#This Row],[Date]]+1),MAX(0,Horaires356734[[#This Row],[Fin corrigée si nuit]]-(1+deb_dimJF)),0))*24-
(IF(COUNTIF(JF,Horaires356734[[#This Row],[Date]]),MAX(0,MIN(fin_dimJF,Horaires356734[[#This Row],[PNP Fin corrigée]])-MAX(deb_dimJF,Horaires356734[[#This Row],[PNP Début corrigé]])),0)+IF(COUNTIF(JF,Horaires356734[[#This Row],[Date]]+1),MAX(0,Horaires356734[[#This Row],[PNP Fin corrigée]]-(1+deb_dimJF)),0))*24</f>
        <v>0</v>
      </c>
    </row>
    <row r="33" spans="1:19" x14ac:dyDescent="0.35">
      <c r="A33" s="5"/>
      <c r="B33" s="1"/>
      <c r="C33" s="2"/>
      <c r="D33" s="2"/>
      <c r="E33" s="3"/>
      <c r="F33" s="3"/>
      <c r="G33" s="3"/>
      <c r="H33" s="3"/>
      <c r="I33" s="51">
        <f>0.1*(Horaires356734[[#This Row],[Heures de nuit]]+Horaires356734[[#This Row],[heures jour dimanche]]+Horaires356734[[#This Row],[heures jour fériés]])</f>
        <v>0</v>
      </c>
      <c r="J33" s="52">
        <f>(MOD(Horaires356734[[#This Row],[Fin]]-Horaires356734[[#This Row],[début]],1)-MOD(Horaires356734[[#This Row],[PNP Fin]]-Horaires356734[[#This Row],[PNP Début]],1))*24</f>
        <v>0</v>
      </c>
      <c r="K33" s="53">
        <f>IF(Horaires356734[[#This Row],[PNP Début]]=0,0,IF(Horaires356734[[#This Row],[PNP Début]]&lt;Horaires356734[[#This Row],[début]],1,0)+Horaires356734[[#This Row],[PNP Début]])</f>
        <v>0</v>
      </c>
      <c r="L33" s="54">
        <f>IF(Horaires356734[[#This Row],[PNP Fin]]=0,0,IF(Horaires356734[[#This Row],[PNP Fin]]&lt;Horaires356734[[#This Row],[début]],1,0)+Horaires356734[[#This Row],[PNP Fin]])</f>
        <v>0</v>
      </c>
      <c r="M33" s="54">
        <f>IF(Horaires356734[[#This Row],[Fin]]&lt;Horaires356734[[#This Row],[début]],1,0)+Horaires356734[[#This Row],[Fin]]</f>
        <v>0</v>
      </c>
      <c r="N33" s="35">
        <f>IF(Horaires356734[[#This Row],[Fin]]&lt;Horaires356734[[#This Row],[début]],MAX(0,MIN(Horaires356734[[#This Row],[Fin corrigée si nuit]],fin_nuit)-MAX(Horaires356734[[#This Row],[début]],deb_nuit))*24,(MAX(deb_nuit,Horaires356734[[#This Row],[Fin]])-MAX(deb_nuit,Horaires356734[[#This Row],[début]])+MAX(MIN(fin_nuit-1,Horaires356734[[#This Row],[Fin]])-MIN(fin_nuit-1,Horaires356734[[#This Row],[début]]),0))*24)</f>
        <v>0</v>
      </c>
      <c r="O33" s="55">
        <f>(MAX(0,MIN(Horaires356734[[#This Row],[Fin corrigée si nuit]],fin_nuit)-MAX(Horaires356734[[#This Row],[début]],deb_nuit))-IF(Horaires356734[[#This Row],[PNP Début]]=0,0,MIN(Horaires356734[[#This Row],[PNP Fin corrigée]],fin_nuit)-MAX(Horaires356734[[#This Row],[PNP Début corrigé]],deb_nuit)))*24</f>
        <v>0</v>
      </c>
      <c r="P33" s="55">
        <f>(IF(WEEKDAY(Horaires356734[[#This Row],[Date]],2)=7,MAX(0,MIN(fin_dimJF,Horaires356734[[#This Row],[Fin corrigée si nuit]])-MAX(deb_dimJF,Horaires356734[[#This Row],[début]])),0)+IF(WEEKDAY(Horaires356734[[#This Row],[Date]],2)=6,MAX(0,Horaires356734[[#This Row],[Fin corrigée si nuit]]-(1+deb_dimJF)),0))*24</f>
        <v>0</v>
      </c>
      <c r="Q33" s="55">
        <f>(IF(WEEKDAY(Horaires356734[[#This Row],[Date]],2)=7,MAX(0,MIN(fin_dimJF,Horaires356734[[#This Row],[Fin corrigée si nuit]])-MAX(deb_dimJF,Horaires356734[[#This Row],[début]])),0)+IF(WEEKDAY(Horaires356734[[#This Row],[Date]],2)=6,MAX(0,Horaires356734[[#This Row],[Fin corrigée si nuit]]-(1+deb_dimJF)),0))*24-
(IF(WEEKDAY(Horaires356734[[#This Row],[Date]],2)=7,MAX(0,MIN(fin_dimJF,Horaires356734[[#This Row],[PNP Fin corrigée]])-MAX(deb_dimJF,Horaires356734[[#This Row],[PNP Début corrigé]])),0)+IF(WEEKDAY(Horaires356734[[#This Row],[Date]],2)=6,MAX(0,Horaires356734[[#This Row],[PNP Fin corrigée]]-(1+deb_dimJF)),0))*24</f>
        <v>0</v>
      </c>
      <c r="R33" s="55">
        <f>(IF(COUNTIF(JF,Horaires356734[[#This Row],[Date]]),MAX(0,MIN(fin_dimJF,Horaires356734[[#This Row],[Fin corrigée si nuit]])-MAX(deb_dimJF,Horaires356734[[#This Row],[début]])),0)+IF(COUNTIF(JF,Horaires356734[[#This Row],[Date]]+1),MAX(0,Horaires356734[[#This Row],[Fin corrigée si nuit]]-(1+deb_dimJF)),0))*24</f>
        <v>0</v>
      </c>
      <c r="S33" s="55">
        <f>(IF(COUNTIF(JF,Horaires356734[[#This Row],[Date]]),MAX(0,MIN(fin_dimJF,Horaires356734[[#This Row],[Fin corrigée si nuit]])-MAX(deb_dimJF,Horaires356734[[#This Row],[début]])),0)+IF(COUNTIF(JF,Horaires356734[[#This Row],[Date]]+1),MAX(0,Horaires356734[[#This Row],[Fin corrigée si nuit]]-(1+deb_dimJF)),0))*24-
(IF(COUNTIF(JF,Horaires356734[[#This Row],[Date]]),MAX(0,MIN(fin_dimJF,Horaires356734[[#This Row],[PNP Fin corrigée]])-MAX(deb_dimJF,Horaires356734[[#This Row],[PNP Début corrigé]])),0)+IF(COUNTIF(JF,Horaires356734[[#This Row],[Date]]+1),MAX(0,Horaires356734[[#This Row],[PNP Fin corrigée]]-(1+deb_dimJF)),0))*24</f>
        <v>0</v>
      </c>
    </row>
    <row r="34" spans="1:19" x14ac:dyDescent="0.35">
      <c r="A34" s="5"/>
      <c r="B34" s="1"/>
      <c r="C34" s="2"/>
      <c r="D34" s="2"/>
      <c r="E34" s="3"/>
      <c r="F34" s="3"/>
      <c r="G34" s="3"/>
      <c r="H34" s="3"/>
      <c r="I34" s="51">
        <f>0.1*(Horaires356734[[#This Row],[Heures de nuit]]+Horaires356734[[#This Row],[heures jour dimanche]]+Horaires356734[[#This Row],[heures jour fériés]])</f>
        <v>0</v>
      </c>
      <c r="J34" s="52">
        <f>(MOD(Horaires356734[[#This Row],[Fin]]-Horaires356734[[#This Row],[début]],1)-MOD(Horaires356734[[#This Row],[PNP Fin]]-Horaires356734[[#This Row],[PNP Début]],1))*24</f>
        <v>0</v>
      </c>
      <c r="K34" s="53">
        <f>IF(Horaires356734[[#This Row],[PNP Début]]=0,0,IF(Horaires356734[[#This Row],[PNP Début]]&lt;Horaires356734[[#This Row],[début]],1,0)+Horaires356734[[#This Row],[PNP Début]])</f>
        <v>0</v>
      </c>
      <c r="L34" s="54">
        <f>IF(Horaires356734[[#This Row],[PNP Fin]]=0,0,IF(Horaires356734[[#This Row],[PNP Fin]]&lt;Horaires356734[[#This Row],[début]],1,0)+Horaires356734[[#This Row],[PNP Fin]])</f>
        <v>0</v>
      </c>
      <c r="M34" s="54">
        <f>IF(Horaires356734[[#This Row],[Fin]]&lt;Horaires356734[[#This Row],[début]],1,0)+Horaires356734[[#This Row],[Fin]]</f>
        <v>0</v>
      </c>
      <c r="N34" s="35">
        <f>IF(Horaires356734[[#This Row],[Fin]]&lt;Horaires356734[[#This Row],[début]],MAX(0,MIN(Horaires356734[[#This Row],[Fin corrigée si nuit]],fin_nuit)-MAX(Horaires356734[[#This Row],[début]],deb_nuit))*24,(MAX(deb_nuit,Horaires356734[[#This Row],[Fin]])-MAX(deb_nuit,Horaires356734[[#This Row],[début]])+MAX(MIN(fin_nuit-1,Horaires356734[[#This Row],[Fin]])-MIN(fin_nuit-1,Horaires356734[[#This Row],[début]]),0))*24)</f>
        <v>0</v>
      </c>
      <c r="O34" s="55">
        <f>(MAX(0,MIN(Horaires356734[[#This Row],[Fin corrigée si nuit]],fin_nuit)-MAX(Horaires356734[[#This Row],[début]],deb_nuit))-IF(Horaires356734[[#This Row],[PNP Début]]=0,0,MIN(Horaires356734[[#This Row],[PNP Fin corrigée]],fin_nuit)-MAX(Horaires356734[[#This Row],[PNP Début corrigé]],deb_nuit)))*24</f>
        <v>0</v>
      </c>
      <c r="P34" s="55">
        <f>(IF(WEEKDAY(Horaires356734[[#This Row],[Date]],2)=7,MAX(0,MIN(fin_dimJF,Horaires356734[[#This Row],[Fin corrigée si nuit]])-MAX(deb_dimJF,Horaires356734[[#This Row],[début]])),0)+IF(WEEKDAY(Horaires356734[[#This Row],[Date]],2)=6,MAX(0,Horaires356734[[#This Row],[Fin corrigée si nuit]]-(1+deb_dimJF)),0))*24</f>
        <v>0</v>
      </c>
      <c r="Q34" s="55">
        <f>(IF(WEEKDAY(Horaires356734[[#This Row],[Date]],2)=7,MAX(0,MIN(fin_dimJF,Horaires356734[[#This Row],[Fin corrigée si nuit]])-MAX(deb_dimJF,Horaires356734[[#This Row],[début]])),0)+IF(WEEKDAY(Horaires356734[[#This Row],[Date]],2)=6,MAX(0,Horaires356734[[#This Row],[Fin corrigée si nuit]]-(1+deb_dimJF)),0))*24-
(IF(WEEKDAY(Horaires356734[[#This Row],[Date]],2)=7,MAX(0,MIN(fin_dimJF,Horaires356734[[#This Row],[PNP Fin corrigée]])-MAX(deb_dimJF,Horaires356734[[#This Row],[PNP Début corrigé]])),0)+IF(WEEKDAY(Horaires356734[[#This Row],[Date]],2)=6,MAX(0,Horaires356734[[#This Row],[PNP Fin corrigée]]-(1+deb_dimJF)),0))*24</f>
        <v>0</v>
      </c>
      <c r="R34" s="55">
        <f>(IF(COUNTIF(JF,Horaires356734[[#This Row],[Date]]),MAX(0,MIN(fin_dimJF,Horaires356734[[#This Row],[Fin corrigée si nuit]])-MAX(deb_dimJF,Horaires356734[[#This Row],[début]])),0)+IF(COUNTIF(JF,Horaires356734[[#This Row],[Date]]+1),MAX(0,Horaires356734[[#This Row],[Fin corrigée si nuit]]-(1+deb_dimJF)),0))*24</f>
        <v>0</v>
      </c>
      <c r="S34" s="55">
        <f>(IF(COUNTIF(JF,Horaires356734[[#This Row],[Date]]),MAX(0,MIN(fin_dimJF,Horaires356734[[#This Row],[Fin corrigée si nuit]])-MAX(deb_dimJF,Horaires356734[[#This Row],[début]])),0)+IF(COUNTIF(JF,Horaires356734[[#This Row],[Date]]+1),MAX(0,Horaires356734[[#This Row],[Fin corrigée si nuit]]-(1+deb_dimJF)),0))*24-
(IF(COUNTIF(JF,Horaires356734[[#This Row],[Date]]),MAX(0,MIN(fin_dimJF,Horaires356734[[#This Row],[PNP Fin corrigée]])-MAX(deb_dimJF,Horaires356734[[#This Row],[PNP Début corrigé]])),0)+IF(COUNTIF(JF,Horaires356734[[#This Row],[Date]]+1),MAX(0,Horaires356734[[#This Row],[PNP Fin corrigée]]-(1+deb_dimJF)),0))*24</f>
        <v>0</v>
      </c>
    </row>
    <row r="35" spans="1:19" x14ac:dyDescent="0.35">
      <c r="A35" s="5"/>
      <c r="B35" s="1"/>
      <c r="C35" s="2"/>
      <c r="D35" s="2"/>
      <c r="E35" s="3"/>
      <c r="F35" s="3"/>
      <c r="G35" s="3"/>
      <c r="H35" s="3"/>
      <c r="I35" s="51">
        <f>0.1*(Horaires356734[[#This Row],[Heures de nuit]]+Horaires356734[[#This Row],[heures jour dimanche]]+Horaires356734[[#This Row],[heures jour fériés]])</f>
        <v>0</v>
      </c>
      <c r="J35" s="52">
        <f>(MOD(Horaires356734[[#This Row],[Fin]]-Horaires356734[[#This Row],[début]],1)-MOD(Horaires356734[[#This Row],[PNP Fin]]-Horaires356734[[#This Row],[PNP Début]],1))*24</f>
        <v>0</v>
      </c>
      <c r="K35" s="53">
        <f>IF(Horaires356734[[#This Row],[PNP Début]]=0,0,IF(Horaires356734[[#This Row],[PNP Début]]&lt;Horaires356734[[#This Row],[début]],1,0)+Horaires356734[[#This Row],[PNP Début]])</f>
        <v>0</v>
      </c>
      <c r="L35" s="54">
        <f>IF(Horaires356734[[#This Row],[PNP Fin]]=0,0,IF(Horaires356734[[#This Row],[PNP Fin]]&lt;Horaires356734[[#This Row],[début]],1,0)+Horaires356734[[#This Row],[PNP Fin]])</f>
        <v>0</v>
      </c>
      <c r="M35" s="54">
        <f>IF(Horaires356734[[#This Row],[Fin]]&lt;Horaires356734[[#This Row],[début]],1,0)+Horaires356734[[#This Row],[Fin]]</f>
        <v>0</v>
      </c>
      <c r="N35" s="35">
        <f>IF(Horaires356734[[#This Row],[Fin]]&lt;Horaires356734[[#This Row],[début]],MAX(0,MIN(Horaires356734[[#This Row],[Fin corrigée si nuit]],fin_nuit)-MAX(Horaires356734[[#This Row],[début]],deb_nuit))*24,(MAX(deb_nuit,Horaires356734[[#This Row],[Fin]])-MAX(deb_nuit,Horaires356734[[#This Row],[début]])+MAX(MIN(fin_nuit-1,Horaires356734[[#This Row],[Fin]])-MIN(fin_nuit-1,Horaires356734[[#This Row],[début]]),0))*24)</f>
        <v>0</v>
      </c>
      <c r="O35" s="55">
        <f>(MAX(0,MIN(Horaires356734[[#This Row],[Fin corrigée si nuit]],fin_nuit)-MAX(Horaires356734[[#This Row],[début]],deb_nuit))-IF(Horaires356734[[#This Row],[PNP Début]]=0,0,MIN(Horaires356734[[#This Row],[PNP Fin corrigée]],fin_nuit)-MAX(Horaires356734[[#This Row],[PNP Début corrigé]],deb_nuit)))*24</f>
        <v>0</v>
      </c>
      <c r="P35" s="55">
        <f>(IF(WEEKDAY(Horaires356734[[#This Row],[Date]],2)=7,MAX(0,MIN(fin_dimJF,Horaires356734[[#This Row],[Fin corrigée si nuit]])-MAX(deb_dimJF,Horaires356734[[#This Row],[début]])),0)+IF(WEEKDAY(Horaires356734[[#This Row],[Date]],2)=6,MAX(0,Horaires356734[[#This Row],[Fin corrigée si nuit]]-(1+deb_dimJF)),0))*24</f>
        <v>0</v>
      </c>
      <c r="Q35" s="55">
        <f>(IF(WEEKDAY(Horaires356734[[#This Row],[Date]],2)=7,MAX(0,MIN(fin_dimJF,Horaires356734[[#This Row],[Fin corrigée si nuit]])-MAX(deb_dimJF,Horaires356734[[#This Row],[début]])),0)+IF(WEEKDAY(Horaires356734[[#This Row],[Date]],2)=6,MAX(0,Horaires356734[[#This Row],[Fin corrigée si nuit]]-(1+deb_dimJF)),0))*24-
(IF(WEEKDAY(Horaires356734[[#This Row],[Date]],2)=7,MAX(0,MIN(fin_dimJF,Horaires356734[[#This Row],[PNP Fin corrigée]])-MAX(deb_dimJF,Horaires356734[[#This Row],[PNP Début corrigé]])),0)+IF(WEEKDAY(Horaires356734[[#This Row],[Date]],2)=6,MAX(0,Horaires356734[[#This Row],[PNP Fin corrigée]]-(1+deb_dimJF)),0))*24</f>
        <v>0</v>
      </c>
      <c r="R35" s="55">
        <f>(IF(COUNTIF(JF,Horaires356734[[#This Row],[Date]]),MAX(0,MIN(fin_dimJF,Horaires356734[[#This Row],[Fin corrigée si nuit]])-MAX(deb_dimJF,Horaires356734[[#This Row],[début]])),0)+IF(COUNTIF(JF,Horaires356734[[#This Row],[Date]]+1),MAX(0,Horaires356734[[#This Row],[Fin corrigée si nuit]]-(1+deb_dimJF)),0))*24</f>
        <v>0</v>
      </c>
      <c r="S35" s="55">
        <f>(IF(COUNTIF(JF,Horaires356734[[#This Row],[Date]]),MAX(0,MIN(fin_dimJF,Horaires356734[[#This Row],[Fin corrigée si nuit]])-MAX(deb_dimJF,Horaires356734[[#This Row],[début]])),0)+IF(COUNTIF(JF,Horaires356734[[#This Row],[Date]]+1),MAX(0,Horaires356734[[#This Row],[Fin corrigée si nuit]]-(1+deb_dimJF)),0))*24-
(IF(COUNTIF(JF,Horaires356734[[#This Row],[Date]]),MAX(0,MIN(fin_dimJF,Horaires356734[[#This Row],[PNP Fin corrigée]])-MAX(deb_dimJF,Horaires356734[[#This Row],[PNP Début corrigé]])),0)+IF(COUNTIF(JF,Horaires356734[[#This Row],[Date]]+1),MAX(0,Horaires356734[[#This Row],[PNP Fin corrigée]]-(1+deb_dimJF)),0))*24</f>
        <v>0</v>
      </c>
    </row>
    <row r="36" spans="1:19" x14ac:dyDescent="0.35">
      <c r="A36" s="5"/>
      <c r="B36" s="1"/>
      <c r="C36" s="2"/>
      <c r="D36" s="2"/>
      <c r="E36" s="3"/>
      <c r="F36" s="3"/>
      <c r="G36" s="3"/>
      <c r="H36" s="3"/>
      <c r="I36" s="51">
        <f>0.1*(Horaires356734[[#This Row],[Heures de nuit]]+Horaires356734[[#This Row],[heures jour dimanche]]+Horaires356734[[#This Row],[heures jour fériés]])</f>
        <v>0</v>
      </c>
      <c r="J36" s="52">
        <f>(MOD(Horaires356734[[#This Row],[Fin]]-Horaires356734[[#This Row],[début]],1)-MOD(Horaires356734[[#This Row],[PNP Fin]]-Horaires356734[[#This Row],[PNP Début]],1))*24</f>
        <v>0</v>
      </c>
      <c r="K36" s="53">
        <f>IF(Horaires356734[[#This Row],[PNP Début]]=0,0,IF(Horaires356734[[#This Row],[PNP Début]]&lt;Horaires356734[[#This Row],[début]],1,0)+Horaires356734[[#This Row],[PNP Début]])</f>
        <v>0</v>
      </c>
      <c r="L36" s="54">
        <f>IF(Horaires356734[[#This Row],[PNP Fin]]=0,0,IF(Horaires356734[[#This Row],[PNP Fin]]&lt;Horaires356734[[#This Row],[début]],1,0)+Horaires356734[[#This Row],[PNP Fin]])</f>
        <v>0</v>
      </c>
      <c r="M36" s="54">
        <f>IF(Horaires356734[[#This Row],[Fin]]&lt;Horaires356734[[#This Row],[début]],1,0)+Horaires356734[[#This Row],[Fin]]</f>
        <v>0</v>
      </c>
      <c r="N36" s="35">
        <f>IF(Horaires356734[[#This Row],[Fin]]&lt;Horaires356734[[#This Row],[début]],MAX(0,MIN(Horaires356734[[#This Row],[Fin corrigée si nuit]],fin_nuit)-MAX(Horaires356734[[#This Row],[début]],deb_nuit))*24,(MAX(deb_nuit,Horaires356734[[#This Row],[Fin]])-MAX(deb_nuit,Horaires356734[[#This Row],[début]])+MAX(MIN(fin_nuit-1,Horaires356734[[#This Row],[Fin]])-MIN(fin_nuit-1,Horaires356734[[#This Row],[début]]),0))*24)</f>
        <v>0</v>
      </c>
      <c r="O36" s="55">
        <f>(MAX(0,MIN(Horaires356734[[#This Row],[Fin corrigée si nuit]],fin_nuit)-MAX(Horaires356734[[#This Row],[début]],deb_nuit))-IF(Horaires356734[[#This Row],[PNP Début]]=0,0,MIN(Horaires356734[[#This Row],[PNP Fin corrigée]],fin_nuit)-MAX(Horaires356734[[#This Row],[PNP Début corrigé]],deb_nuit)))*24</f>
        <v>0</v>
      </c>
      <c r="P36" s="55">
        <f>(IF(WEEKDAY(Horaires356734[[#This Row],[Date]],2)=7,MAX(0,MIN(fin_dimJF,Horaires356734[[#This Row],[Fin corrigée si nuit]])-MAX(deb_dimJF,Horaires356734[[#This Row],[début]])),0)+IF(WEEKDAY(Horaires356734[[#This Row],[Date]],2)=6,MAX(0,Horaires356734[[#This Row],[Fin corrigée si nuit]]-(1+deb_dimJF)),0))*24</f>
        <v>0</v>
      </c>
      <c r="Q36" s="55">
        <f>(IF(WEEKDAY(Horaires356734[[#This Row],[Date]],2)=7,MAX(0,MIN(fin_dimJF,Horaires356734[[#This Row],[Fin corrigée si nuit]])-MAX(deb_dimJF,Horaires356734[[#This Row],[début]])),0)+IF(WEEKDAY(Horaires356734[[#This Row],[Date]],2)=6,MAX(0,Horaires356734[[#This Row],[Fin corrigée si nuit]]-(1+deb_dimJF)),0))*24-
(IF(WEEKDAY(Horaires356734[[#This Row],[Date]],2)=7,MAX(0,MIN(fin_dimJF,Horaires356734[[#This Row],[PNP Fin corrigée]])-MAX(deb_dimJF,Horaires356734[[#This Row],[PNP Début corrigé]])),0)+IF(WEEKDAY(Horaires356734[[#This Row],[Date]],2)=6,MAX(0,Horaires356734[[#This Row],[PNP Fin corrigée]]-(1+deb_dimJF)),0))*24</f>
        <v>0</v>
      </c>
      <c r="R36" s="55">
        <f>(IF(COUNTIF(JF,Horaires356734[[#This Row],[Date]]),MAX(0,MIN(fin_dimJF,Horaires356734[[#This Row],[Fin corrigée si nuit]])-MAX(deb_dimJF,Horaires356734[[#This Row],[début]])),0)+IF(COUNTIF(JF,Horaires356734[[#This Row],[Date]]+1),MAX(0,Horaires356734[[#This Row],[Fin corrigée si nuit]]-(1+deb_dimJF)),0))*24</f>
        <v>0</v>
      </c>
      <c r="S36" s="55">
        <f>(IF(COUNTIF(JF,Horaires356734[[#This Row],[Date]]),MAX(0,MIN(fin_dimJF,Horaires356734[[#This Row],[Fin corrigée si nuit]])-MAX(deb_dimJF,Horaires356734[[#This Row],[début]])),0)+IF(COUNTIF(JF,Horaires356734[[#This Row],[Date]]+1),MAX(0,Horaires356734[[#This Row],[Fin corrigée si nuit]]-(1+deb_dimJF)),0))*24-
(IF(COUNTIF(JF,Horaires356734[[#This Row],[Date]]),MAX(0,MIN(fin_dimJF,Horaires356734[[#This Row],[PNP Fin corrigée]])-MAX(deb_dimJF,Horaires356734[[#This Row],[PNP Début corrigé]])),0)+IF(COUNTIF(JF,Horaires356734[[#This Row],[Date]]+1),MAX(0,Horaires356734[[#This Row],[PNP Fin corrigée]]-(1+deb_dimJF)),0))*24</f>
        <v>0</v>
      </c>
    </row>
    <row r="37" spans="1:19" x14ac:dyDescent="0.35">
      <c r="A37" s="5"/>
      <c r="B37" s="1"/>
      <c r="C37" s="2"/>
      <c r="D37" s="2"/>
      <c r="E37" s="3"/>
      <c r="F37" s="3"/>
      <c r="G37" s="3"/>
      <c r="H37" s="3"/>
      <c r="I37" s="51">
        <f>0.1*(Horaires356734[[#This Row],[Heures de nuit]]+Horaires356734[[#This Row],[heures jour dimanche]]+Horaires356734[[#This Row],[heures jour fériés]])</f>
        <v>0</v>
      </c>
      <c r="J37" s="52">
        <f>(MOD(Horaires356734[[#This Row],[Fin]]-Horaires356734[[#This Row],[début]],1)-MOD(Horaires356734[[#This Row],[PNP Fin]]-Horaires356734[[#This Row],[PNP Début]],1))*24</f>
        <v>0</v>
      </c>
      <c r="K37" s="53">
        <f>IF(Horaires356734[[#This Row],[PNP Début]]=0,0,IF(Horaires356734[[#This Row],[PNP Début]]&lt;Horaires356734[[#This Row],[début]],1,0)+Horaires356734[[#This Row],[PNP Début]])</f>
        <v>0</v>
      </c>
      <c r="L37" s="54">
        <f>IF(Horaires356734[[#This Row],[PNP Fin]]=0,0,IF(Horaires356734[[#This Row],[PNP Fin]]&lt;Horaires356734[[#This Row],[début]],1,0)+Horaires356734[[#This Row],[PNP Fin]])</f>
        <v>0</v>
      </c>
      <c r="M37" s="54">
        <f>IF(Horaires356734[[#This Row],[Fin]]&lt;Horaires356734[[#This Row],[début]],1,0)+Horaires356734[[#This Row],[Fin]]</f>
        <v>0</v>
      </c>
      <c r="N37" s="35">
        <f>IF(Horaires356734[[#This Row],[Fin]]&lt;Horaires356734[[#This Row],[début]],MAX(0,MIN(Horaires356734[[#This Row],[Fin corrigée si nuit]],fin_nuit)-MAX(Horaires356734[[#This Row],[début]],deb_nuit))*24,(MAX(deb_nuit,Horaires356734[[#This Row],[Fin]])-MAX(deb_nuit,Horaires356734[[#This Row],[début]])+MAX(MIN(fin_nuit-1,Horaires356734[[#This Row],[Fin]])-MIN(fin_nuit-1,Horaires356734[[#This Row],[début]]),0))*24)</f>
        <v>0</v>
      </c>
      <c r="O37" s="55">
        <f>(MAX(0,MIN(Horaires356734[[#This Row],[Fin corrigée si nuit]],fin_nuit)-MAX(Horaires356734[[#This Row],[début]],deb_nuit))-IF(Horaires356734[[#This Row],[PNP Début]]=0,0,MIN(Horaires356734[[#This Row],[PNP Fin corrigée]],fin_nuit)-MAX(Horaires356734[[#This Row],[PNP Début corrigé]],deb_nuit)))*24</f>
        <v>0</v>
      </c>
      <c r="P37" s="55">
        <f>(IF(WEEKDAY(Horaires356734[[#This Row],[Date]],2)=7,MAX(0,MIN(fin_dimJF,Horaires356734[[#This Row],[Fin corrigée si nuit]])-MAX(deb_dimJF,Horaires356734[[#This Row],[début]])),0)+IF(WEEKDAY(Horaires356734[[#This Row],[Date]],2)=6,MAX(0,Horaires356734[[#This Row],[Fin corrigée si nuit]]-(1+deb_dimJF)),0))*24</f>
        <v>0</v>
      </c>
      <c r="Q37" s="55">
        <f>(IF(WEEKDAY(Horaires356734[[#This Row],[Date]],2)=7,MAX(0,MIN(fin_dimJF,Horaires356734[[#This Row],[Fin corrigée si nuit]])-MAX(deb_dimJF,Horaires356734[[#This Row],[début]])),0)+IF(WEEKDAY(Horaires356734[[#This Row],[Date]],2)=6,MAX(0,Horaires356734[[#This Row],[Fin corrigée si nuit]]-(1+deb_dimJF)),0))*24-
(IF(WEEKDAY(Horaires356734[[#This Row],[Date]],2)=7,MAX(0,MIN(fin_dimJF,Horaires356734[[#This Row],[PNP Fin corrigée]])-MAX(deb_dimJF,Horaires356734[[#This Row],[PNP Début corrigé]])),0)+IF(WEEKDAY(Horaires356734[[#This Row],[Date]],2)=6,MAX(0,Horaires356734[[#This Row],[PNP Fin corrigée]]-(1+deb_dimJF)),0))*24</f>
        <v>0</v>
      </c>
      <c r="R37" s="55">
        <f>(IF(COUNTIF(JF,Horaires356734[[#This Row],[Date]]),MAX(0,MIN(fin_dimJF,Horaires356734[[#This Row],[Fin corrigée si nuit]])-MAX(deb_dimJF,Horaires356734[[#This Row],[début]])),0)+IF(COUNTIF(JF,Horaires356734[[#This Row],[Date]]+1),MAX(0,Horaires356734[[#This Row],[Fin corrigée si nuit]]-(1+deb_dimJF)),0))*24</f>
        <v>0</v>
      </c>
      <c r="S37" s="55">
        <f>(IF(COUNTIF(JF,Horaires356734[[#This Row],[Date]]),MAX(0,MIN(fin_dimJF,Horaires356734[[#This Row],[Fin corrigée si nuit]])-MAX(deb_dimJF,Horaires356734[[#This Row],[début]])),0)+IF(COUNTIF(JF,Horaires356734[[#This Row],[Date]]+1),MAX(0,Horaires356734[[#This Row],[Fin corrigée si nuit]]-(1+deb_dimJF)),0))*24-
(IF(COUNTIF(JF,Horaires356734[[#This Row],[Date]]),MAX(0,MIN(fin_dimJF,Horaires356734[[#This Row],[PNP Fin corrigée]])-MAX(deb_dimJF,Horaires356734[[#This Row],[PNP Début corrigé]])),0)+IF(COUNTIF(JF,Horaires356734[[#This Row],[Date]]+1),MAX(0,Horaires356734[[#This Row],[PNP Fin corrigée]]-(1+deb_dimJF)),0))*24</f>
        <v>0</v>
      </c>
    </row>
    <row r="38" spans="1:19" x14ac:dyDescent="0.35">
      <c r="A38" s="5"/>
      <c r="B38" s="1"/>
      <c r="C38" s="2"/>
      <c r="D38" s="2"/>
      <c r="E38" s="3"/>
      <c r="F38" s="3"/>
      <c r="G38" s="3"/>
      <c r="H38" s="3"/>
      <c r="I38" s="51">
        <f>0.1*(Horaires356734[[#This Row],[Heures de nuit]]+Horaires356734[[#This Row],[heures jour dimanche]]+Horaires356734[[#This Row],[heures jour fériés]])</f>
        <v>0</v>
      </c>
      <c r="J38" s="52">
        <f>(MOD(Horaires356734[[#This Row],[Fin]]-Horaires356734[[#This Row],[début]],1)-MOD(Horaires356734[[#This Row],[PNP Fin]]-Horaires356734[[#This Row],[PNP Début]],1))*24</f>
        <v>0</v>
      </c>
      <c r="K38" s="53">
        <f>IF(Horaires356734[[#This Row],[PNP Début]]=0,0,IF(Horaires356734[[#This Row],[PNP Début]]&lt;Horaires356734[[#This Row],[début]],1,0)+Horaires356734[[#This Row],[PNP Début]])</f>
        <v>0</v>
      </c>
      <c r="L38" s="54">
        <f>IF(Horaires356734[[#This Row],[PNP Fin]]=0,0,IF(Horaires356734[[#This Row],[PNP Fin]]&lt;Horaires356734[[#This Row],[début]],1,0)+Horaires356734[[#This Row],[PNP Fin]])</f>
        <v>0</v>
      </c>
      <c r="M38" s="54">
        <f>IF(Horaires356734[[#This Row],[Fin]]&lt;Horaires356734[[#This Row],[début]],1,0)+Horaires356734[[#This Row],[Fin]]</f>
        <v>0</v>
      </c>
      <c r="N38" s="35">
        <f>IF(Horaires356734[[#This Row],[Fin]]&lt;Horaires356734[[#This Row],[début]],MAX(0,MIN(Horaires356734[[#This Row],[Fin corrigée si nuit]],fin_nuit)-MAX(Horaires356734[[#This Row],[début]],deb_nuit))*24,(MAX(deb_nuit,Horaires356734[[#This Row],[Fin]])-MAX(deb_nuit,Horaires356734[[#This Row],[début]])+MAX(MIN(fin_nuit-1,Horaires356734[[#This Row],[Fin]])-MIN(fin_nuit-1,Horaires356734[[#This Row],[début]]),0))*24)</f>
        <v>0</v>
      </c>
      <c r="O38" s="55">
        <f>(MAX(0,MIN(Horaires356734[[#This Row],[Fin corrigée si nuit]],fin_nuit)-MAX(Horaires356734[[#This Row],[début]],deb_nuit))-IF(Horaires356734[[#This Row],[PNP Début]]=0,0,MIN(Horaires356734[[#This Row],[PNP Fin corrigée]],fin_nuit)-MAX(Horaires356734[[#This Row],[PNP Début corrigé]],deb_nuit)))*24</f>
        <v>0</v>
      </c>
      <c r="P38" s="55">
        <f>(IF(WEEKDAY(Horaires356734[[#This Row],[Date]],2)=7,MAX(0,MIN(fin_dimJF,Horaires356734[[#This Row],[Fin corrigée si nuit]])-MAX(deb_dimJF,Horaires356734[[#This Row],[début]])),0)+IF(WEEKDAY(Horaires356734[[#This Row],[Date]],2)=6,MAX(0,Horaires356734[[#This Row],[Fin corrigée si nuit]]-(1+deb_dimJF)),0))*24</f>
        <v>0</v>
      </c>
      <c r="Q38" s="55">
        <f>(IF(WEEKDAY(Horaires356734[[#This Row],[Date]],2)=7,MAX(0,MIN(fin_dimJF,Horaires356734[[#This Row],[Fin corrigée si nuit]])-MAX(deb_dimJF,Horaires356734[[#This Row],[début]])),0)+IF(WEEKDAY(Horaires356734[[#This Row],[Date]],2)=6,MAX(0,Horaires356734[[#This Row],[Fin corrigée si nuit]]-(1+deb_dimJF)),0))*24-
(IF(WEEKDAY(Horaires356734[[#This Row],[Date]],2)=7,MAX(0,MIN(fin_dimJF,Horaires356734[[#This Row],[PNP Fin corrigée]])-MAX(deb_dimJF,Horaires356734[[#This Row],[PNP Début corrigé]])),0)+IF(WEEKDAY(Horaires356734[[#This Row],[Date]],2)=6,MAX(0,Horaires356734[[#This Row],[PNP Fin corrigée]]-(1+deb_dimJF)),0))*24</f>
        <v>0</v>
      </c>
      <c r="R38" s="55">
        <f>(IF(COUNTIF(JF,Horaires356734[[#This Row],[Date]]),MAX(0,MIN(fin_dimJF,Horaires356734[[#This Row],[Fin corrigée si nuit]])-MAX(deb_dimJF,Horaires356734[[#This Row],[début]])),0)+IF(COUNTIF(JF,Horaires356734[[#This Row],[Date]]+1),MAX(0,Horaires356734[[#This Row],[Fin corrigée si nuit]]-(1+deb_dimJF)),0))*24</f>
        <v>0</v>
      </c>
      <c r="S38" s="55">
        <f>(IF(COUNTIF(JF,Horaires356734[[#This Row],[Date]]),MAX(0,MIN(fin_dimJF,Horaires356734[[#This Row],[Fin corrigée si nuit]])-MAX(deb_dimJF,Horaires356734[[#This Row],[début]])),0)+IF(COUNTIF(JF,Horaires356734[[#This Row],[Date]]+1),MAX(0,Horaires356734[[#This Row],[Fin corrigée si nuit]]-(1+deb_dimJF)),0))*24-
(IF(COUNTIF(JF,Horaires356734[[#This Row],[Date]]),MAX(0,MIN(fin_dimJF,Horaires356734[[#This Row],[PNP Fin corrigée]])-MAX(deb_dimJF,Horaires356734[[#This Row],[PNP Début corrigé]])),0)+IF(COUNTIF(JF,Horaires356734[[#This Row],[Date]]+1),MAX(0,Horaires356734[[#This Row],[PNP Fin corrigée]]-(1+deb_dimJF)),0))*24</f>
        <v>0</v>
      </c>
    </row>
    <row r="39" spans="1:19" x14ac:dyDescent="0.35">
      <c r="A39" s="5"/>
      <c r="B39" s="1"/>
      <c r="C39" s="2"/>
      <c r="D39" s="2"/>
      <c r="E39" s="3"/>
      <c r="F39" s="3"/>
      <c r="G39" s="3"/>
      <c r="H39" s="3"/>
      <c r="I39" s="51">
        <f>0.1*(Horaires356734[[#This Row],[Heures de nuit]]+Horaires356734[[#This Row],[heures jour dimanche]]+Horaires356734[[#This Row],[heures jour fériés]])</f>
        <v>0</v>
      </c>
      <c r="J39" s="52">
        <f>(MOD(Horaires356734[[#This Row],[Fin]]-Horaires356734[[#This Row],[début]],1)-MOD(Horaires356734[[#This Row],[PNP Fin]]-Horaires356734[[#This Row],[PNP Début]],1))*24</f>
        <v>0</v>
      </c>
      <c r="K39" s="53">
        <f>IF(Horaires356734[[#This Row],[PNP Début]]=0,0,IF(Horaires356734[[#This Row],[PNP Début]]&lt;Horaires356734[[#This Row],[début]],1,0)+Horaires356734[[#This Row],[PNP Début]])</f>
        <v>0</v>
      </c>
      <c r="L39" s="54">
        <f>IF(Horaires356734[[#This Row],[PNP Fin]]=0,0,IF(Horaires356734[[#This Row],[PNP Fin]]&lt;Horaires356734[[#This Row],[début]],1,0)+Horaires356734[[#This Row],[PNP Fin]])</f>
        <v>0</v>
      </c>
      <c r="M39" s="54">
        <f>IF(Horaires356734[[#This Row],[Fin]]&lt;Horaires356734[[#This Row],[début]],1,0)+Horaires356734[[#This Row],[Fin]]</f>
        <v>0</v>
      </c>
      <c r="N39" s="35">
        <f>IF(Horaires356734[[#This Row],[Fin]]&lt;Horaires356734[[#This Row],[début]],MAX(0,MIN(Horaires356734[[#This Row],[Fin corrigée si nuit]],fin_nuit)-MAX(Horaires356734[[#This Row],[début]],deb_nuit))*24,(MAX(deb_nuit,Horaires356734[[#This Row],[Fin]])-MAX(deb_nuit,Horaires356734[[#This Row],[début]])+MAX(MIN(fin_nuit-1,Horaires356734[[#This Row],[Fin]])-MIN(fin_nuit-1,Horaires356734[[#This Row],[début]]),0))*24)</f>
        <v>0</v>
      </c>
      <c r="O39" s="55">
        <f>(MAX(0,MIN(Horaires356734[[#This Row],[Fin corrigée si nuit]],fin_nuit)-MAX(Horaires356734[[#This Row],[début]],deb_nuit))-IF(Horaires356734[[#This Row],[PNP Début]]=0,0,MIN(Horaires356734[[#This Row],[PNP Fin corrigée]],fin_nuit)-MAX(Horaires356734[[#This Row],[PNP Début corrigé]],deb_nuit)))*24</f>
        <v>0</v>
      </c>
      <c r="P39" s="55">
        <f>(IF(WEEKDAY(Horaires356734[[#This Row],[Date]],2)=7,MAX(0,MIN(fin_dimJF,Horaires356734[[#This Row],[Fin corrigée si nuit]])-MAX(deb_dimJF,Horaires356734[[#This Row],[début]])),0)+IF(WEEKDAY(Horaires356734[[#This Row],[Date]],2)=6,MAX(0,Horaires356734[[#This Row],[Fin corrigée si nuit]]-(1+deb_dimJF)),0))*24</f>
        <v>0</v>
      </c>
      <c r="Q39" s="55">
        <f>(IF(WEEKDAY(Horaires356734[[#This Row],[Date]],2)=7,MAX(0,MIN(fin_dimJF,Horaires356734[[#This Row],[Fin corrigée si nuit]])-MAX(deb_dimJF,Horaires356734[[#This Row],[début]])),0)+IF(WEEKDAY(Horaires356734[[#This Row],[Date]],2)=6,MAX(0,Horaires356734[[#This Row],[Fin corrigée si nuit]]-(1+deb_dimJF)),0))*24-
(IF(WEEKDAY(Horaires356734[[#This Row],[Date]],2)=7,MAX(0,MIN(fin_dimJF,Horaires356734[[#This Row],[PNP Fin corrigée]])-MAX(deb_dimJF,Horaires356734[[#This Row],[PNP Début corrigé]])),0)+IF(WEEKDAY(Horaires356734[[#This Row],[Date]],2)=6,MAX(0,Horaires356734[[#This Row],[PNP Fin corrigée]]-(1+deb_dimJF)),0))*24</f>
        <v>0</v>
      </c>
      <c r="R39" s="55">
        <f>(IF(COUNTIF(JF,Horaires356734[[#This Row],[Date]]),MAX(0,MIN(fin_dimJF,Horaires356734[[#This Row],[Fin corrigée si nuit]])-MAX(deb_dimJF,Horaires356734[[#This Row],[début]])),0)+IF(COUNTIF(JF,Horaires356734[[#This Row],[Date]]+1),MAX(0,Horaires356734[[#This Row],[Fin corrigée si nuit]]-(1+deb_dimJF)),0))*24</f>
        <v>0</v>
      </c>
      <c r="S39" s="55">
        <f>(IF(COUNTIF(JF,Horaires356734[[#This Row],[Date]]),MAX(0,MIN(fin_dimJF,Horaires356734[[#This Row],[Fin corrigée si nuit]])-MAX(deb_dimJF,Horaires356734[[#This Row],[début]])),0)+IF(COUNTIF(JF,Horaires356734[[#This Row],[Date]]+1),MAX(0,Horaires356734[[#This Row],[Fin corrigée si nuit]]-(1+deb_dimJF)),0))*24-
(IF(COUNTIF(JF,Horaires356734[[#This Row],[Date]]),MAX(0,MIN(fin_dimJF,Horaires356734[[#This Row],[PNP Fin corrigée]])-MAX(deb_dimJF,Horaires356734[[#This Row],[PNP Début corrigé]])),0)+IF(COUNTIF(JF,Horaires356734[[#This Row],[Date]]+1),MAX(0,Horaires356734[[#This Row],[PNP Fin corrigée]]-(1+deb_dimJF)),0))*24</f>
        <v>0</v>
      </c>
    </row>
    <row r="40" spans="1:19" x14ac:dyDescent="0.35">
      <c r="A40" s="5"/>
      <c r="B40" s="1"/>
      <c r="C40" s="2"/>
      <c r="D40" s="2"/>
      <c r="E40" s="3"/>
      <c r="F40" s="3"/>
      <c r="G40" s="3"/>
      <c r="H40" s="3"/>
      <c r="I40" s="51">
        <f>0.1*(Horaires356734[[#This Row],[Heures de nuit]]+Horaires356734[[#This Row],[heures jour dimanche]]+Horaires356734[[#This Row],[heures jour fériés]])</f>
        <v>0</v>
      </c>
      <c r="J40" s="52">
        <f>(MOD(Horaires356734[[#This Row],[Fin]]-Horaires356734[[#This Row],[début]],1)-MOD(Horaires356734[[#This Row],[PNP Fin]]-Horaires356734[[#This Row],[PNP Début]],1))*24</f>
        <v>0</v>
      </c>
      <c r="K40" s="53">
        <f>IF(Horaires356734[[#This Row],[PNP Début]]=0,0,IF(Horaires356734[[#This Row],[PNP Début]]&lt;Horaires356734[[#This Row],[début]],1,0)+Horaires356734[[#This Row],[PNP Début]])</f>
        <v>0</v>
      </c>
      <c r="L40" s="54">
        <f>IF(Horaires356734[[#This Row],[PNP Fin]]=0,0,IF(Horaires356734[[#This Row],[PNP Fin]]&lt;Horaires356734[[#This Row],[début]],1,0)+Horaires356734[[#This Row],[PNP Fin]])</f>
        <v>0</v>
      </c>
      <c r="M40" s="54">
        <f>IF(Horaires356734[[#This Row],[Fin]]&lt;Horaires356734[[#This Row],[début]],1,0)+Horaires356734[[#This Row],[Fin]]</f>
        <v>0</v>
      </c>
      <c r="N40" s="35">
        <f>IF(Horaires356734[[#This Row],[Fin]]&lt;Horaires356734[[#This Row],[début]],MAX(0,MIN(Horaires356734[[#This Row],[Fin corrigée si nuit]],fin_nuit)-MAX(Horaires356734[[#This Row],[début]],deb_nuit))*24,(MAX(deb_nuit,Horaires356734[[#This Row],[Fin]])-MAX(deb_nuit,Horaires356734[[#This Row],[début]])+MAX(MIN(fin_nuit-1,Horaires356734[[#This Row],[Fin]])-MIN(fin_nuit-1,Horaires356734[[#This Row],[début]]),0))*24)</f>
        <v>0</v>
      </c>
      <c r="O40" s="55">
        <f>(MAX(0,MIN(Horaires356734[[#This Row],[Fin corrigée si nuit]],fin_nuit)-MAX(Horaires356734[[#This Row],[début]],deb_nuit))-IF(Horaires356734[[#This Row],[PNP Début]]=0,0,MIN(Horaires356734[[#This Row],[PNP Fin corrigée]],fin_nuit)-MAX(Horaires356734[[#This Row],[PNP Début corrigé]],deb_nuit)))*24</f>
        <v>0</v>
      </c>
      <c r="P40" s="55">
        <f>(IF(WEEKDAY(Horaires356734[[#This Row],[Date]],2)=7,MAX(0,MIN(fin_dimJF,Horaires356734[[#This Row],[Fin corrigée si nuit]])-MAX(deb_dimJF,Horaires356734[[#This Row],[début]])),0)+IF(WEEKDAY(Horaires356734[[#This Row],[Date]],2)=6,MAX(0,Horaires356734[[#This Row],[Fin corrigée si nuit]]-(1+deb_dimJF)),0))*24</f>
        <v>0</v>
      </c>
      <c r="Q40" s="55">
        <f>(IF(WEEKDAY(Horaires356734[[#This Row],[Date]],2)=7,MAX(0,MIN(fin_dimJF,Horaires356734[[#This Row],[Fin corrigée si nuit]])-MAX(deb_dimJF,Horaires356734[[#This Row],[début]])),0)+IF(WEEKDAY(Horaires356734[[#This Row],[Date]],2)=6,MAX(0,Horaires356734[[#This Row],[Fin corrigée si nuit]]-(1+deb_dimJF)),0))*24-
(IF(WEEKDAY(Horaires356734[[#This Row],[Date]],2)=7,MAX(0,MIN(fin_dimJF,Horaires356734[[#This Row],[PNP Fin corrigée]])-MAX(deb_dimJF,Horaires356734[[#This Row],[PNP Début corrigé]])),0)+IF(WEEKDAY(Horaires356734[[#This Row],[Date]],2)=6,MAX(0,Horaires356734[[#This Row],[PNP Fin corrigée]]-(1+deb_dimJF)),0))*24</f>
        <v>0</v>
      </c>
      <c r="R40" s="55">
        <f>(IF(COUNTIF(JF,Horaires356734[[#This Row],[Date]]),MAX(0,MIN(fin_dimJF,Horaires356734[[#This Row],[Fin corrigée si nuit]])-MAX(deb_dimJF,Horaires356734[[#This Row],[début]])),0)+IF(COUNTIF(JF,Horaires356734[[#This Row],[Date]]+1),MAX(0,Horaires356734[[#This Row],[Fin corrigée si nuit]]-(1+deb_dimJF)),0))*24</f>
        <v>0</v>
      </c>
      <c r="S40" s="55">
        <f>(IF(COUNTIF(JF,Horaires356734[[#This Row],[Date]]),MAX(0,MIN(fin_dimJF,Horaires356734[[#This Row],[Fin corrigée si nuit]])-MAX(deb_dimJF,Horaires356734[[#This Row],[début]])),0)+IF(COUNTIF(JF,Horaires356734[[#This Row],[Date]]+1),MAX(0,Horaires356734[[#This Row],[Fin corrigée si nuit]]-(1+deb_dimJF)),0))*24-
(IF(COUNTIF(JF,Horaires356734[[#This Row],[Date]]),MAX(0,MIN(fin_dimJF,Horaires356734[[#This Row],[PNP Fin corrigée]])-MAX(deb_dimJF,Horaires356734[[#This Row],[PNP Début corrigé]])),0)+IF(COUNTIF(JF,Horaires356734[[#This Row],[Date]]+1),MAX(0,Horaires356734[[#This Row],[PNP Fin corrigée]]-(1+deb_dimJF)),0))*24</f>
        <v>0</v>
      </c>
    </row>
    <row r="41" spans="1:19" x14ac:dyDescent="0.35">
      <c r="A41" s="5"/>
      <c r="B41" s="1"/>
      <c r="C41" s="2"/>
      <c r="D41" s="2"/>
      <c r="E41" s="3"/>
      <c r="F41" s="3"/>
      <c r="G41" s="3"/>
      <c r="H41" s="3"/>
      <c r="I41" s="51">
        <f>0.1*(Horaires356734[[#This Row],[Heures de nuit]]+Horaires356734[[#This Row],[heures jour dimanche]]+Horaires356734[[#This Row],[heures jour fériés]])</f>
        <v>0</v>
      </c>
      <c r="J41" s="52">
        <f>(MOD(Horaires356734[[#This Row],[Fin]]-Horaires356734[[#This Row],[début]],1)-MOD(Horaires356734[[#This Row],[PNP Fin]]-Horaires356734[[#This Row],[PNP Début]],1))*24</f>
        <v>0</v>
      </c>
      <c r="K41" s="53">
        <f>IF(Horaires356734[[#This Row],[PNP Début]]=0,0,IF(Horaires356734[[#This Row],[PNP Début]]&lt;Horaires356734[[#This Row],[début]],1,0)+Horaires356734[[#This Row],[PNP Début]])</f>
        <v>0</v>
      </c>
      <c r="L41" s="54">
        <f>IF(Horaires356734[[#This Row],[PNP Fin]]=0,0,IF(Horaires356734[[#This Row],[PNP Fin]]&lt;Horaires356734[[#This Row],[début]],1,0)+Horaires356734[[#This Row],[PNP Fin]])</f>
        <v>0</v>
      </c>
      <c r="M41" s="54">
        <f>IF(Horaires356734[[#This Row],[Fin]]&lt;Horaires356734[[#This Row],[début]],1,0)+Horaires356734[[#This Row],[Fin]]</f>
        <v>0</v>
      </c>
      <c r="N41" s="35">
        <f>IF(Horaires356734[[#This Row],[Fin]]&lt;Horaires356734[[#This Row],[début]],MAX(0,MIN(Horaires356734[[#This Row],[Fin corrigée si nuit]],fin_nuit)-MAX(Horaires356734[[#This Row],[début]],deb_nuit))*24,(MAX(deb_nuit,Horaires356734[[#This Row],[Fin]])-MAX(deb_nuit,Horaires356734[[#This Row],[début]])+MAX(MIN(fin_nuit-1,Horaires356734[[#This Row],[Fin]])-MIN(fin_nuit-1,Horaires356734[[#This Row],[début]]),0))*24)</f>
        <v>0</v>
      </c>
      <c r="O41" s="55">
        <f>(MAX(0,MIN(Horaires356734[[#This Row],[Fin corrigée si nuit]],fin_nuit)-MAX(Horaires356734[[#This Row],[début]],deb_nuit))-IF(Horaires356734[[#This Row],[PNP Début]]=0,0,MIN(Horaires356734[[#This Row],[PNP Fin corrigée]],fin_nuit)-MAX(Horaires356734[[#This Row],[PNP Début corrigé]],deb_nuit)))*24</f>
        <v>0</v>
      </c>
      <c r="P41" s="55">
        <f>(IF(WEEKDAY(Horaires356734[[#This Row],[Date]],2)=7,MAX(0,MIN(fin_dimJF,Horaires356734[[#This Row],[Fin corrigée si nuit]])-MAX(deb_dimJF,Horaires356734[[#This Row],[début]])),0)+IF(WEEKDAY(Horaires356734[[#This Row],[Date]],2)=6,MAX(0,Horaires356734[[#This Row],[Fin corrigée si nuit]]-(1+deb_dimJF)),0))*24</f>
        <v>0</v>
      </c>
      <c r="Q41" s="55">
        <f>(IF(WEEKDAY(Horaires356734[[#This Row],[Date]],2)=7,MAX(0,MIN(fin_dimJF,Horaires356734[[#This Row],[Fin corrigée si nuit]])-MAX(deb_dimJF,Horaires356734[[#This Row],[début]])),0)+IF(WEEKDAY(Horaires356734[[#This Row],[Date]],2)=6,MAX(0,Horaires356734[[#This Row],[Fin corrigée si nuit]]-(1+deb_dimJF)),0))*24-
(IF(WEEKDAY(Horaires356734[[#This Row],[Date]],2)=7,MAX(0,MIN(fin_dimJF,Horaires356734[[#This Row],[PNP Fin corrigée]])-MAX(deb_dimJF,Horaires356734[[#This Row],[PNP Début corrigé]])),0)+IF(WEEKDAY(Horaires356734[[#This Row],[Date]],2)=6,MAX(0,Horaires356734[[#This Row],[PNP Fin corrigée]]-(1+deb_dimJF)),0))*24</f>
        <v>0</v>
      </c>
      <c r="R41" s="55">
        <f>(IF(COUNTIF(JF,Horaires356734[[#This Row],[Date]]),MAX(0,MIN(fin_dimJF,Horaires356734[[#This Row],[Fin corrigée si nuit]])-MAX(deb_dimJF,Horaires356734[[#This Row],[début]])),0)+IF(COUNTIF(JF,Horaires356734[[#This Row],[Date]]+1),MAX(0,Horaires356734[[#This Row],[Fin corrigée si nuit]]-(1+deb_dimJF)),0))*24</f>
        <v>0</v>
      </c>
      <c r="S41" s="55">
        <f>(IF(COUNTIF(JF,Horaires356734[[#This Row],[Date]]),MAX(0,MIN(fin_dimJF,Horaires356734[[#This Row],[Fin corrigée si nuit]])-MAX(deb_dimJF,Horaires356734[[#This Row],[début]])),0)+IF(COUNTIF(JF,Horaires356734[[#This Row],[Date]]+1),MAX(0,Horaires356734[[#This Row],[Fin corrigée si nuit]]-(1+deb_dimJF)),0))*24-
(IF(COUNTIF(JF,Horaires356734[[#This Row],[Date]]),MAX(0,MIN(fin_dimJF,Horaires356734[[#This Row],[PNP Fin corrigée]])-MAX(deb_dimJF,Horaires356734[[#This Row],[PNP Début corrigé]])),0)+IF(COUNTIF(JF,Horaires356734[[#This Row],[Date]]+1),MAX(0,Horaires356734[[#This Row],[PNP Fin corrigée]]-(1+deb_dimJF)),0))*24</f>
        <v>0</v>
      </c>
    </row>
    <row r="42" spans="1:19" x14ac:dyDescent="0.35">
      <c r="A42" s="5"/>
      <c r="B42" s="1"/>
      <c r="C42" s="2"/>
      <c r="D42" s="2"/>
      <c r="E42" s="3"/>
      <c r="F42" s="3"/>
      <c r="G42" s="3"/>
      <c r="H42" s="3"/>
      <c r="I42" s="51">
        <f>0.1*(Horaires356734[[#This Row],[Heures de nuit]]+Horaires356734[[#This Row],[heures jour dimanche]]+Horaires356734[[#This Row],[heures jour fériés]])</f>
        <v>0</v>
      </c>
      <c r="J42" s="52">
        <f>(MOD(Horaires356734[[#This Row],[Fin]]-Horaires356734[[#This Row],[début]],1)-MOD(Horaires356734[[#This Row],[PNP Fin]]-Horaires356734[[#This Row],[PNP Début]],1))*24</f>
        <v>0</v>
      </c>
      <c r="K42" s="53">
        <f>IF(Horaires356734[[#This Row],[PNP Début]]=0,0,IF(Horaires356734[[#This Row],[PNP Début]]&lt;Horaires356734[[#This Row],[début]],1,0)+Horaires356734[[#This Row],[PNP Début]])</f>
        <v>0</v>
      </c>
      <c r="L42" s="54">
        <f>IF(Horaires356734[[#This Row],[PNP Fin]]=0,0,IF(Horaires356734[[#This Row],[PNP Fin]]&lt;Horaires356734[[#This Row],[début]],1,0)+Horaires356734[[#This Row],[PNP Fin]])</f>
        <v>0</v>
      </c>
      <c r="M42" s="54">
        <f>IF(Horaires356734[[#This Row],[Fin]]&lt;Horaires356734[[#This Row],[début]],1,0)+Horaires356734[[#This Row],[Fin]]</f>
        <v>0</v>
      </c>
      <c r="N42" s="35">
        <f>IF(Horaires356734[[#This Row],[Fin]]&lt;Horaires356734[[#This Row],[début]],MAX(0,MIN(Horaires356734[[#This Row],[Fin corrigée si nuit]],fin_nuit)-MAX(Horaires356734[[#This Row],[début]],deb_nuit))*24,(MAX(deb_nuit,Horaires356734[[#This Row],[Fin]])-MAX(deb_nuit,Horaires356734[[#This Row],[début]])+MAX(MIN(fin_nuit-1,Horaires356734[[#This Row],[Fin]])-MIN(fin_nuit-1,Horaires356734[[#This Row],[début]]),0))*24)</f>
        <v>0</v>
      </c>
      <c r="O42" s="55">
        <f>(MAX(0,MIN(Horaires356734[[#This Row],[Fin corrigée si nuit]],fin_nuit)-MAX(Horaires356734[[#This Row],[début]],deb_nuit))-IF(Horaires356734[[#This Row],[PNP Début]]=0,0,MIN(Horaires356734[[#This Row],[PNP Fin corrigée]],fin_nuit)-MAX(Horaires356734[[#This Row],[PNP Début corrigé]],deb_nuit)))*24</f>
        <v>0</v>
      </c>
      <c r="P42" s="55">
        <f>(IF(WEEKDAY(Horaires356734[[#This Row],[Date]],2)=7,MAX(0,MIN(fin_dimJF,Horaires356734[[#This Row],[Fin corrigée si nuit]])-MAX(deb_dimJF,Horaires356734[[#This Row],[début]])),0)+IF(WEEKDAY(Horaires356734[[#This Row],[Date]],2)=6,MAX(0,Horaires356734[[#This Row],[Fin corrigée si nuit]]-(1+deb_dimJF)),0))*24</f>
        <v>0</v>
      </c>
      <c r="Q42" s="55">
        <f>(IF(WEEKDAY(Horaires356734[[#This Row],[Date]],2)=7,MAX(0,MIN(fin_dimJF,Horaires356734[[#This Row],[Fin corrigée si nuit]])-MAX(deb_dimJF,Horaires356734[[#This Row],[début]])),0)+IF(WEEKDAY(Horaires356734[[#This Row],[Date]],2)=6,MAX(0,Horaires356734[[#This Row],[Fin corrigée si nuit]]-(1+deb_dimJF)),0))*24-
(IF(WEEKDAY(Horaires356734[[#This Row],[Date]],2)=7,MAX(0,MIN(fin_dimJF,Horaires356734[[#This Row],[PNP Fin corrigée]])-MAX(deb_dimJF,Horaires356734[[#This Row],[PNP Début corrigé]])),0)+IF(WEEKDAY(Horaires356734[[#This Row],[Date]],2)=6,MAX(0,Horaires356734[[#This Row],[PNP Fin corrigée]]-(1+deb_dimJF)),0))*24</f>
        <v>0</v>
      </c>
      <c r="R42" s="55">
        <f>(IF(COUNTIF(JF,Horaires356734[[#This Row],[Date]]),MAX(0,MIN(fin_dimJF,Horaires356734[[#This Row],[Fin corrigée si nuit]])-MAX(deb_dimJF,Horaires356734[[#This Row],[début]])),0)+IF(COUNTIF(JF,Horaires356734[[#This Row],[Date]]+1),MAX(0,Horaires356734[[#This Row],[Fin corrigée si nuit]]-(1+deb_dimJF)),0))*24</f>
        <v>0</v>
      </c>
      <c r="S42" s="55">
        <f>(IF(COUNTIF(JF,Horaires356734[[#This Row],[Date]]),MAX(0,MIN(fin_dimJF,Horaires356734[[#This Row],[Fin corrigée si nuit]])-MAX(deb_dimJF,Horaires356734[[#This Row],[début]])),0)+IF(COUNTIF(JF,Horaires356734[[#This Row],[Date]]+1),MAX(0,Horaires356734[[#This Row],[Fin corrigée si nuit]]-(1+deb_dimJF)),0))*24-
(IF(COUNTIF(JF,Horaires356734[[#This Row],[Date]]),MAX(0,MIN(fin_dimJF,Horaires356734[[#This Row],[PNP Fin corrigée]])-MAX(deb_dimJF,Horaires356734[[#This Row],[PNP Début corrigé]])),0)+IF(COUNTIF(JF,Horaires356734[[#This Row],[Date]]+1),MAX(0,Horaires356734[[#This Row],[PNP Fin corrigée]]-(1+deb_dimJF)),0))*24</f>
        <v>0</v>
      </c>
    </row>
    <row r="43" spans="1:19" x14ac:dyDescent="0.35">
      <c r="A43" s="5"/>
      <c r="B43" s="1"/>
      <c r="C43" s="2"/>
      <c r="D43" s="2"/>
      <c r="E43" s="3"/>
      <c r="F43" s="3"/>
      <c r="G43" s="3"/>
      <c r="H43" s="3"/>
      <c r="I43" s="51">
        <f>0.1*(Horaires356734[[#This Row],[Heures de nuit]]+Horaires356734[[#This Row],[heures jour dimanche]]+Horaires356734[[#This Row],[heures jour fériés]])</f>
        <v>0</v>
      </c>
      <c r="J43" s="52">
        <f>(MOD(Horaires356734[[#This Row],[Fin]]-Horaires356734[[#This Row],[début]],1)-MOD(Horaires356734[[#This Row],[PNP Fin]]-Horaires356734[[#This Row],[PNP Début]],1))*24</f>
        <v>0</v>
      </c>
      <c r="K43" s="53">
        <f>IF(Horaires356734[[#This Row],[PNP Début]]=0,0,IF(Horaires356734[[#This Row],[PNP Début]]&lt;Horaires356734[[#This Row],[début]],1,0)+Horaires356734[[#This Row],[PNP Début]])</f>
        <v>0</v>
      </c>
      <c r="L43" s="54">
        <f>IF(Horaires356734[[#This Row],[PNP Fin]]=0,0,IF(Horaires356734[[#This Row],[PNP Fin]]&lt;Horaires356734[[#This Row],[début]],1,0)+Horaires356734[[#This Row],[PNP Fin]])</f>
        <v>0</v>
      </c>
      <c r="M43" s="54">
        <f>IF(Horaires356734[[#This Row],[Fin]]&lt;Horaires356734[[#This Row],[début]],1,0)+Horaires356734[[#This Row],[Fin]]</f>
        <v>0</v>
      </c>
      <c r="N43" s="35">
        <f>IF(Horaires356734[[#This Row],[Fin]]&lt;Horaires356734[[#This Row],[début]],MAX(0,MIN(Horaires356734[[#This Row],[Fin corrigée si nuit]],fin_nuit)-MAX(Horaires356734[[#This Row],[début]],deb_nuit))*24,(MAX(deb_nuit,Horaires356734[[#This Row],[Fin]])-MAX(deb_nuit,Horaires356734[[#This Row],[début]])+MAX(MIN(fin_nuit-1,Horaires356734[[#This Row],[Fin]])-MIN(fin_nuit-1,Horaires356734[[#This Row],[début]]),0))*24)</f>
        <v>0</v>
      </c>
      <c r="O43" s="55">
        <f>(MAX(0,MIN(Horaires356734[[#This Row],[Fin corrigée si nuit]],fin_nuit)-MAX(Horaires356734[[#This Row],[début]],deb_nuit))-IF(Horaires356734[[#This Row],[PNP Début]]=0,0,MIN(Horaires356734[[#This Row],[PNP Fin corrigée]],fin_nuit)-MAX(Horaires356734[[#This Row],[PNP Début corrigé]],deb_nuit)))*24</f>
        <v>0</v>
      </c>
      <c r="P43" s="55">
        <f>(IF(WEEKDAY(Horaires356734[[#This Row],[Date]],2)=7,MAX(0,MIN(fin_dimJF,Horaires356734[[#This Row],[Fin corrigée si nuit]])-MAX(deb_dimJF,Horaires356734[[#This Row],[début]])),0)+IF(WEEKDAY(Horaires356734[[#This Row],[Date]],2)=6,MAX(0,Horaires356734[[#This Row],[Fin corrigée si nuit]]-(1+deb_dimJF)),0))*24</f>
        <v>0</v>
      </c>
      <c r="Q43" s="55">
        <f>(IF(WEEKDAY(Horaires356734[[#This Row],[Date]],2)=7,MAX(0,MIN(fin_dimJF,Horaires356734[[#This Row],[Fin corrigée si nuit]])-MAX(deb_dimJF,Horaires356734[[#This Row],[début]])),0)+IF(WEEKDAY(Horaires356734[[#This Row],[Date]],2)=6,MAX(0,Horaires356734[[#This Row],[Fin corrigée si nuit]]-(1+deb_dimJF)),0))*24-
(IF(WEEKDAY(Horaires356734[[#This Row],[Date]],2)=7,MAX(0,MIN(fin_dimJF,Horaires356734[[#This Row],[PNP Fin corrigée]])-MAX(deb_dimJF,Horaires356734[[#This Row],[PNP Début corrigé]])),0)+IF(WEEKDAY(Horaires356734[[#This Row],[Date]],2)=6,MAX(0,Horaires356734[[#This Row],[PNP Fin corrigée]]-(1+deb_dimJF)),0))*24</f>
        <v>0</v>
      </c>
      <c r="R43" s="55">
        <f>(IF(COUNTIF(JF,Horaires356734[[#This Row],[Date]]),MAX(0,MIN(fin_dimJF,Horaires356734[[#This Row],[Fin corrigée si nuit]])-MAX(deb_dimJF,Horaires356734[[#This Row],[début]])),0)+IF(COUNTIF(JF,Horaires356734[[#This Row],[Date]]+1),MAX(0,Horaires356734[[#This Row],[Fin corrigée si nuit]]-(1+deb_dimJF)),0))*24</f>
        <v>0</v>
      </c>
      <c r="S43" s="55">
        <f>(IF(COUNTIF(JF,Horaires356734[[#This Row],[Date]]),MAX(0,MIN(fin_dimJF,Horaires356734[[#This Row],[Fin corrigée si nuit]])-MAX(deb_dimJF,Horaires356734[[#This Row],[début]])),0)+IF(COUNTIF(JF,Horaires356734[[#This Row],[Date]]+1),MAX(0,Horaires356734[[#This Row],[Fin corrigée si nuit]]-(1+deb_dimJF)),0))*24-
(IF(COUNTIF(JF,Horaires356734[[#This Row],[Date]]),MAX(0,MIN(fin_dimJF,Horaires356734[[#This Row],[PNP Fin corrigée]])-MAX(deb_dimJF,Horaires356734[[#This Row],[PNP Début corrigé]])),0)+IF(COUNTIF(JF,Horaires356734[[#This Row],[Date]]+1),MAX(0,Horaires356734[[#This Row],[PNP Fin corrigée]]-(1+deb_dimJF)),0))*24</f>
        <v>0</v>
      </c>
    </row>
    <row r="44" spans="1:19" x14ac:dyDescent="0.35">
      <c r="A44" s="5"/>
      <c r="B44" s="1"/>
      <c r="C44" s="2"/>
      <c r="D44" s="2"/>
      <c r="E44" s="3"/>
      <c r="F44" s="3"/>
      <c r="G44" s="3"/>
      <c r="H44" s="3"/>
      <c r="I44" s="51">
        <f>0.1*(Horaires356734[[#This Row],[Heures de nuit]]+Horaires356734[[#This Row],[heures jour dimanche]]+Horaires356734[[#This Row],[heures jour fériés]])</f>
        <v>0</v>
      </c>
      <c r="J44" s="52">
        <f>(MOD(Horaires356734[[#This Row],[Fin]]-Horaires356734[[#This Row],[début]],1)-MOD(Horaires356734[[#This Row],[PNP Fin]]-Horaires356734[[#This Row],[PNP Début]],1))*24</f>
        <v>0</v>
      </c>
      <c r="K44" s="53">
        <f>IF(Horaires356734[[#This Row],[PNP Début]]=0,0,IF(Horaires356734[[#This Row],[PNP Début]]&lt;Horaires356734[[#This Row],[début]],1,0)+Horaires356734[[#This Row],[PNP Début]])</f>
        <v>0</v>
      </c>
      <c r="L44" s="54">
        <f>IF(Horaires356734[[#This Row],[PNP Fin]]=0,0,IF(Horaires356734[[#This Row],[PNP Fin]]&lt;Horaires356734[[#This Row],[début]],1,0)+Horaires356734[[#This Row],[PNP Fin]])</f>
        <v>0</v>
      </c>
      <c r="M44" s="54">
        <f>IF(Horaires356734[[#This Row],[Fin]]&lt;Horaires356734[[#This Row],[début]],1,0)+Horaires356734[[#This Row],[Fin]]</f>
        <v>0</v>
      </c>
      <c r="N44" s="35">
        <f>IF(Horaires356734[[#This Row],[Fin]]&lt;Horaires356734[[#This Row],[début]],MAX(0,MIN(Horaires356734[[#This Row],[Fin corrigée si nuit]],fin_nuit)-MAX(Horaires356734[[#This Row],[début]],deb_nuit))*24,(MAX(deb_nuit,Horaires356734[[#This Row],[Fin]])-MAX(deb_nuit,Horaires356734[[#This Row],[début]])+MAX(MIN(fin_nuit-1,Horaires356734[[#This Row],[Fin]])-MIN(fin_nuit-1,Horaires356734[[#This Row],[début]]),0))*24)</f>
        <v>0</v>
      </c>
      <c r="O44" s="55">
        <f>(MAX(0,MIN(Horaires356734[[#This Row],[Fin corrigée si nuit]],fin_nuit)-MAX(Horaires356734[[#This Row],[début]],deb_nuit))-IF(Horaires356734[[#This Row],[PNP Début]]=0,0,MIN(Horaires356734[[#This Row],[PNP Fin corrigée]],fin_nuit)-MAX(Horaires356734[[#This Row],[PNP Début corrigé]],deb_nuit)))*24</f>
        <v>0</v>
      </c>
      <c r="P44" s="55">
        <f>(IF(WEEKDAY(Horaires356734[[#This Row],[Date]],2)=7,MAX(0,MIN(fin_dimJF,Horaires356734[[#This Row],[Fin corrigée si nuit]])-MAX(deb_dimJF,Horaires356734[[#This Row],[début]])),0)+IF(WEEKDAY(Horaires356734[[#This Row],[Date]],2)=6,MAX(0,Horaires356734[[#This Row],[Fin corrigée si nuit]]-(1+deb_dimJF)),0))*24</f>
        <v>0</v>
      </c>
      <c r="Q44" s="55">
        <f>(IF(WEEKDAY(Horaires356734[[#This Row],[Date]],2)=7,MAX(0,MIN(fin_dimJF,Horaires356734[[#This Row],[Fin corrigée si nuit]])-MAX(deb_dimJF,Horaires356734[[#This Row],[début]])),0)+IF(WEEKDAY(Horaires356734[[#This Row],[Date]],2)=6,MAX(0,Horaires356734[[#This Row],[Fin corrigée si nuit]]-(1+deb_dimJF)),0))*24-
(IF(WEEKDAY(Horaires356734[[#This Row],[Date]],2)=7,MAX(0,MIN(fin_dimJF,Horaires356734[[#This Row],[PNP Fin corrigée]])-MAX(deb_dimJF,Horaires356734[[#This Row],[PNP Début corrigé]])),0)+IF(WEEKDAY(Horaires356734[[#This Row],[Date]],2)=6,MAX(0,Horaires356734[[#This Row],[PNP Fin corrigée]]-(1+deb_dimJF)),0))*24</f>
        <v>0</v>
      </c>
      <c r="R44" s="55">
        <f>(IF(COUNTIF(JF,Horaires356734[[#This Row],[Date]]),MAX(0,MIN(fin_dimJF,Horaires356734[[#This Row],[Fin corrigée si nuit]])-MAX(deb_dimJF,Horaires356734[[#This Row],[début]])),0)+IF(COUNTIF(JF,Horaires356734[[#This Row],[Date]]+1),MAX(0,Horaires356734[[#This Row],[Fin corrigée si nuit]]-(1+deb_dimJF)),0))*24</f>
        <v>0</v>
      </c>
      <c r="S44" s="55">
        <f>(IF(COUNTIF(JF,Horaires356734[[#This Row],[Date]]),MAX(0,MIN(fin_dimJF,Horaires356734[[#This Row],[Fin corrigée si nuit]])-MAX(deb_dimJF,Horaires356734[[#This Row],[début]])),0)+IF(COUNTIF(JF,Horaires356734[[#This Row],[Date]]+1),MAX(0,Horaires356734[[#This Row],[Fin corrigée si nuit]]-(1+deb_dimJF)),0))*24-
(IF(COUNTIF(JF,Horaires356734[[#This Row],[Date]]),MAX(0,MIN(fin_dimJF,Horaires356734[[#This Row],[PNP Fin corrigée]])-MAX(deb_dimJF,Horaires356734[[#This Row],[PNP Début corrigé]])),0)+IF(COUNTIF(JF,Horaires356734[[#This Row],[Date]]+1),MAX(0,Horaires356734[[#This Row],[PNP Fin corrigée]]-(1+deb_dimJF)),0))*24</f>
        <v>0</v>
      </c>
    </row>
    <row r="45" spans="1:19" x14ac:dyDescent="0.35">
      <c r="A45" s="5"/>
      <c r="B45" s="1"/>
      <c r="C45" s="2"/>
      <c r="D45" s="2"/>
      <c r="E45" s="3"/>
      <c r="F45" s="3"/>
      <c r="G45" s="3"/>
      <c r="H45" s="3"/>
      <c r="I45" s="51">
        <f>0.1*(Horaires356734[[#This Row],[Heures de nuit]]+Horaires356734[[#This Row],[heures jour dimanche]]+Horaires356734[[#This Row],[heures jour fériés]])</f>
        <v>0</v>
      </c>
      <c r="J45" s="52">
        <f>(MOD(Horaires356734[[#This Row],[Fin]]-Horaires356734[[#This Row],[début]],1)-MOD(Horaires356734[[#This Row],[PNP Fin]]-Horaires356734[[#This Row],[PNP Début]],1))*24</f>
        <v>0</v>
      </c>
      <c r="K45" s="53">
        <f>IF(Horaires356734[[#This Row],[PNP Début]]=0,0,IF(Horaires356734[[#This Row],[PNP Début]]&lt;Horaires356734[[#This Row],[début]],1,0)+Horaires356734[[#This Row],[PNP Début]])</f>
        <v>0</v>
      </c>
      <c r="L45" s="54">
        <f>IF(Horaires356734[[#This Row],[PNP Fin]]=0,0,IF(Horaires356734[[#This Row],[PNP Fin]]&lt;Horaires356734[[#This Row],[début]],1,0)+Horaires356734[[#This Row],[PNP Fin]])</f>
        <v>0</v>
      </c>
      <c r="M45" s="54">
        <f>IF(Horaires356734[[#This Row],[Fin]]&lt;Horaires356734[[#This Row],[début]],1,0)+Horaires356734[[#This Row],[Fin]]</f>
        <v>0</v>
      </c>
      <c r="N45" s="35">
        <f>IF(Horaires356734[[#This Row],[Fin]]&lt;Horaires356734[[#This Row],[début]],MAX(0,MIN(Horaires356734[[#This Row],[Fin corrigée si nuit]],fin_nuit)-MAX(Horaires356734[[#This Row],[début]],deb_nuit))*24,(MAX(deb_nuit,Horaires356734[[#This Row],[Fin]])-MAX(deb_nuit,Horaires356734[[#This Row],[début]])+MAX(MIN(fin_nuit-1,Horaires356734[[#This Row],[Fin]])-MIN(fin_nuit-1,Horaires356734[[#This Row],[début]]),0))*24)</f>
        <v>0</v>
      </c>
      <c r="O45" s="55">
        <f>(MAX(0,MIN(Horaires356734[[#This Row],[Fin corrigée si nuit]],fin_nuit)-MAX(Horaires356734[[#This Row],[début]],deb_nuit))-IF(Horaires356734[[#This Row],[PNP Début]]=0,0,MIN(Horaires356734[[#This Row],[PNP Fin corrigée]],fin_nuit)-MAX(Horaires356734[[#This Row],[PNP Début corrigé]],deb_nuit)))*24</f>
        <v>0</v>
      </c>
      <c r="P45" s="55">
        <f>(IF(WEEKDAY(Horaires356734[[#This Row],[Date]],2)=7,MAX(0,MIN(fin_dimJF,Horaires356734[[#This Row],[Fin corrigée si nuit]])-MAX(deb_dimJF,Horaires356734[[#This Row],[début]])),0)+IF(WEEKDAY(Horaires356734[[#This Row],[Date]],2)=6,MAX(0,Horaires356734[[#This Row],[Fin corrigée si nuit]]-(1+deb_dimJF)),0))*24</f>
        <v>0</v>
      </c>
      <c r="Q45" s="55">
        <f>(IF(WEEKDAY(Horaires356734[[#This Row],[Date]],2)=7,MAX(0,MIN(fin_dimJF,Horaires356734[[#This Row],[Fin corrigée si nuit]])-MAX(deb_dimJF,Horaires356734[[#This Row],[début]])),0)+IF(WEEKDAY(Horaires356734[[#This Row],[Date]],2)=6,MAX(0,Horaires356734[[#This Row],[Fin corrigée si nuit]]-(1+deb_dimJF)),0))*24-
(IF(WEEKDAY(Horaires356734[[#This Row],[Date]],2)=7,MAX(0,MIN(fin_dimJF,Horaires356734[[#This Row],[PNP Fin corrigée]])-MAX(deb_dimJF,Horaires356734[[#This Row],[PNP Début corrigé]])),0)+IF(WEEKDAY(Horaires356734[[#This Row],[Date]],2)=6,MAX(0,Horaires356734[[#This Row],[PNP Fin corrigée]]-(1+deb_dimJF)),0))*24</f>
        <v>0</v>
      </c>
      <c r="R45" s="55">
        <f>(IF(COUNTIF(JF,Horaires356734[[#This Row],[Date]]),MAX(0,MIN(fin_dimJF,Horaires356734[[#This Row],[Fin corrigée si nuit]])-MAX(deb_dimJF,Horaires356734[[#This Row],[début]])),0)+IF(COUNTIF(JF,Horaires356734[[#This Row],[Date]]+1),MAX(0,Horaires356734[[#This Row],[Fin corrigée si nuit]]-(1+deb_dimJF)),0))*24</f>
        <v>0</v>
      </c>
      <c r="S45" s="55">
        <f>(IF(COUNTIF(JF,Horaires356734[[#This Row],[Date]]),MAX(0,MIN(fin_dimJF,Horaires356734[[#This Row],[Fin corrigée si nuit]])-MAX(deb_dimJF,Horaires356734[[#This Row],[début]])),0)+IF(COUNTIF(JF,Horaires356734[[#This Row],[Date]]+1),MAX(0,Horaires356734[[#This Row],[Fin corrigée si nuit]]-(1+deb_dimJF)),0))*24-
(IF(COUNTIF(JF,Horaires356734[[#This Row],[Date]]),MAX(0,MIN(fin_dimJF,Horaires356734[[#This Row],[PNP Fin corrigée]])-MAX(deb_dimJF,Horaires356734[[#This Row],[PNP Début corrigé]])),0)+IF(COUNTIF(JF,Horaires356734[[#This Row],[Date]]+1),MAX(0,Horaires356734[[#This Row],[PNP Fin corrigée]]-(1+deb_dimJF)),0))*24</f>
        <v>0</v>
      </c>
    </row>
    <row r="46" spans="1:19" x14ac:dyDescent="0.35">
      <c r="A46" s="5"/>
      <c r="B46" s="1"/>
      <c r="C46" s="2"/>
      <c r="D46" s="2"/>
      <c r="E46" s="3"/>
      <c r="F46" s="3"/>
      <c r="G46" s="3"/>
      <c r="H46" s="3"/>
      <c r="I46" s="51">
        <f>0.1*(Horaires356734[[#This Row],[Heures de nuit]]+Horaires356734[[#This Row],[heures jour dimanche]]+Horaires356734[[#This Row],[heures jour fériés]])</f>
        <v>0</v>
      </c>
      <c r="J46" s="52">
        <f>(MOD(Horaires356734[[#This Row],[Fin]]-Horaires356734[[#This Row],[début]],1)-MOD(Horaires356734[[#This Row],[PNP Fin]]-Horaires356734[[#This Row],[PNP Début]],1))*24</f>
        <v>0</v>
      </c>
      <c r="K46" s="53">
        <f>IF(Horaires356734[[#This Row],[PNP Début]]=0,0,IF(Horaires356734[[#This Row],[PNP Début]]&lt;Horaires356734[[#This Row],[début]],1,0)+Horaires356734[[#This Row],[PNP Début]])</f>
        <v>0</v>
      </c>
      <c r="L46" s="54">
        <f>IF(Horaires356734[[#This Row],[PNP Fin]]=0,0,IF(Horaires356734[[#This Row],[PNP Fin]]&lt;Horaires356734[[#This Row],[début]],1,0)+Horaires356734[[#This Row],[PNP Fin]])</f>
        <v>0</v>
      </c>
      <c r="M46" s="54">
        <f>IF(Horaires356734[[#This Row],[Fin]]&lt;Horaires356734[[#This Row],[début]],1,0)+Horaires356734[[#This Row],[Fin]]</f>
        <v>0</v>
      </c>
      <c r="N46" s="35">
        <f>IF(Horaires356734[[#This Row],[Fin]]&lt;Horaires356734[[#This Row],[début]],MAX(0,MIN(Horaires356734[[#This Row],[Fin corrigée si nuit]],fin_nuit)-MAX(Horaires356734[[#This Row],[début]],deb_nuit))*24,(MAX(deb_nuit,Horaires356734[[#This Row],[Fin]])-MAX(deb_nuit,Horaires356734[[#This Row],[début]])+MAX(MIN(fin_nuit-1,Horaires356734[[#This Row],[Fin]])-MIN(fin_nuit-1,Horaires356734[[#This Row],[début]]),0))*24)</f>
        <v>0</v>
      </c>
      <c r="O46" s="55">
        <f>(MAX(0,MIN(Horaires356734[[#This Row],[Fin corrigée si nuit]],fin_nuit)-MAX(Horaires356734[[#This Row],[début]],deb_nuit))-IF(Horaires356734[[#This Row],[PNP Début]]=0,0,MIN(Horaires356734[[#This Row],[PNP Fin corrigée]],fin_nuit)-MAX(Horaires356734[[#This Row],[PNP Début corrigé]],deb_nuit)))*24</f>
        <v>0</v>
      </c>
      <c r="P46" s="55">
        <f>(IF(WEEKDAY(Horaires356734[[#This Row],[Date]],2)=7,MAX(0,MIN(fin_dimJF,Horaires356734[[#This Row],[Fin corrigée si nuit]])-MAX(deb_dimJF,Horaires356734[[#This Row],[début]])),0)+IF(WEEKDAY(Horaires356734[[#This Row],[Date]],2)=6,MAX(0,Horaires356734[[#This Row],[Fin corrigée si nuit]]-(1+deb_dimJF)),0))*24</f>
        <v>0</v>
      </c>
      <c r="Q46" s="55">
        <f>(IF(WEEKDAY(Horaires356734[[#This Row],[Date]],2)=7,MAX(0,MIN(fin_dimJF,Horaires356734[[#This Row],[Fin corrigée si nuit]])-MAX(deb_dimJF,Horaires356734[[#This Row],[début]])),0)+IF(WEEKDAY(Horaires356734[[#This Row],[Date]],2)=6,MAX(0,Horaires356734[[#This Row],[Fin corrigée si nuit]]-(1+deb_dimJF)),0))*24-
(IF(WEEKDAY(Horaires356734[[#This Row],[Date]],2)=7,MAX(0,MIN(fin_dimJF,Horaires356734[[#This Row],[PNP Fin corrigée]])-MAX(deb_dimJF,Horaires356734[[#This Row],[PNP Début corrigé]])),0)+IF(WEEKDAY(Horaires356734[[#This Row],[Date]],2)=6,MAX(0,Horaires356734[[#This Row],[PNP Fin corrigée]]-(1+deb_dimJF)),0))*24</f>
        <v>0</v>
      </c>
      <c r="R46" s="55">
        <f>(IF(COUNTIF(JF,Horaires356734[[#This Row],[Date]]),MAX(0,MIN(fin_dimJF,Horaires356734[[#This Row],[Fin corrigée si nuit]])-MAX(deb_dimJF,Horaires356734[[#This Row],[début]])),0)+IF(COUNTIF(JF,Horaires356734[[#This Row],[Date]]+1),MAX(0,Horaires356734[[#This Row],[Fin corrigée si nuit]]-(1+deb_dimJF)),0))*24</f>
        <v>0</v>
      </c>
      <c r="S46" s="55">
        <f>(IF(COUNTIF(JF,Horaires356734[[#This Row],[Date]]),MAX(0,MIN(fin_dimJF,Horaires356734[[#This Row],[Fin corrigée si nuit]])-MAX(deb_dimJF,Horaires356734[[#This Row],[début]])),0)+IF(COUNTIF(JF,Horaires356734[[#This Row],[Date]]+1),MAX(0,Horaires356734[[#This Row],[Fin corrigée si nuit]]-(1+deb_dimJF)),0))*24-
(IF(COUNTIF(JF,Horaires356734[[#This Row],[Date]]),MAX(0,MIN(fin_dimJF,Horaires356734[[#This Row],[PNP Fin corrigée]])-MAX(deb_dimJF,Horaires356734[[#This Row],[PNP Début corrigé]])),0)+IF(COUNTIF(JF,Horaires356734[[#This Row],[Date]]+1),MAX(0,Horaires356734[[#This Row],[PNP Fin corrigée]]-(1+deb_dimJF)),0))*24</f>
        <v>0</v>
      </c>
    </row>
    <row r="47" spans="1:19" x14ac:dyDescent="0.35">
      <c r="A47" s="5"/>
      <c r="B47" s="1"/>
      <c r="C47" s="2"/>
      <c r="D47" s="2"/>
      <c r="E47" s="3"/>
      <c r="F47" s="3"/>
      <c r="G47" s="3"/>
      <c r="H47" s="3"/>
      <c r="I47" s="51">
        <f>0.1*(Horaires356734[[#This Row],[Heures de nuit]]+Horaires356734[[#This Row],[heures jour dimanche]]+Horaires356734[[#This Row],[heures jour fériés]])</f>
        <v>0</v>
      </c>
      <c r="J47" s="52">
        <f>(MOD(Horaires356734[[#This Row],[Fin]]-Horaires356734[[#This Row],[début]],1)-MOD(Horaires356734[[#This Row],[PNP Fin]]-Horaires356734[[#This Row],[PNP Début]],1))*24</f>
        <v>0</v>
      </c>
      <c r="K47" s="53">
        <f>IF(Horaires356734[[#This Row],[PNP Début]]=0,0,IF(Horaires356734[[#This Row],[PNP Début]]&lt;Horaires356734[[#This Row],[début]],1,0)+Horaires356734[[#This Row],[PNP Début]])</f>
        <v>0</v>
      </c>
      <c r="L47" s="54">
        <f>IF(Horaires356734[[#This Row],[PNP Fin]]=0,0,IF(Horaires356734[[#This Row],[PNP Fin]]&lt;Horaires356734[[#This Row],[début]],1,0)+Horaires356734[[#This Row],[PNP Fin]])</f>
        <v>0</v>
      </c>
      <c r="M47" s="54">
        <f>IF(Horaires356734[[#This Row],[Fin]]&lt;Horaires356734[[#This Row],[début]],1,0)+Horaires356734[[#This Row],[Fin]]</f>
        <v>0</v>
      </c>
      <c r="N47" s="35">
        <f>IF(Horaires356734[[#This Row],[Fin]]&lt;Horaires356734[[#This Row],[début]],MAX(0,MIN(Horaires356734[[#This Row],[Fin corrigée si nuit]],fin_nuit)-MAX(Horaires356734[[#This Row],[début]],deb_nuit))*24,(MAX(deb_nuit,Horaires356734[[#This Row],[Fin]])-MAX(deb_nuit,Horaires356734[[#This Row],[début]])+MAX(MIN(fin_nuit-1,Horaires356734[[#This Row],[Fin]])-MIN(fin_nuit-1,Horaires356734[[#This Row],[début]]),0))*24)</f>
        <v>0</v>
      </c>
      <c r="O47" s="55">
        <f>(MAX(0,MIN(Horaires356734[[#This Row],[Fin corrigée si nuit]],fin_nuit)-MAX(Horaires356734[[#This Row],[début]],deb_nuit))-IF(Horaires356734[[#This Row],[PNP Début]]=0,0,MIN(Horaires356734[[#This Row],[PNP Fin corrigée]],fin_nuit)-MAX(Horaires356734[[#This Row],[PNP Début corrigé]],deb_nuit)))*24</f>
        <v>0</v>
      </c>
      <c r="P47" s="55">
        <f>(IF(WEEKDAY(Horaires356734[[#This Row],[Date]],2)=7,MAX(0,MIN(fin_dimJF,Horaires356734[[#This Row],[Fin corrigée si nuit]])-MAX(deb_dimJF,Horaires356734[[#This Row],[début]])),0)+IF(WEEKDAY(Horaires356734[[#This Row],[Date]],2)=6,MAX(0,Horaires356734[[#This Row],[Fin corrigée si nuit]]-(1+deb_dimJF)),0))*24</f>
        <v>0</v>
      </c>
      <c r="Q47" s="55">
        <f>(IF(WEEKDAY(Horaires356734[[#This Row],[Date]],2)=7,MAX(0,MIN(fin_dimJF,Horaires356734[[#This Row],[Fin corrigée si nuit]])-MAX(deb_dimJF,Horaires356734[[#This Row],[début]])),0)+IF(WEEKDAY(Horaires356734[[#This Row],[Date]],2)=6,MAX(0,Horaires356734[[#This Row],[Fin corrigée si nuit]]-(1+deb_dimJF)),0))*24-
(IF(WEEKDAY(Horaires356734[[#This Row],[Date]],2)=7,MAX(0,MIN(fin_dimJF,Horaires356734[[#This Row],[PNP Fin corrigée]])-MAX(deb_dimJF,Horaires356734[[#This Row],[PNP Début corrigé]])),0)+IF(WEEKDAY(Horaires356734[[#This Row],[Date]],2)=6,MAX(0,Horaires356734[[#This Row],[PNP Fin corrigée]]-(1+deb_dimJF)),0))*24</f>
        <v>0</v>
      </c>
      <c r="R47" s="55">
        <f>(IF(COUNTIF(JF,Horaires356734[[#This Row],[Date]]),MAX(0,MIN(fin_dimJF,Horaires356734[[#This Row],[Fin corrigée si nuit]])-MAX(deb_dimJF,Horaires356734[[#This Row],[début]])),0)+IF(COUNTIF(JF,Horaires356734[[#This Row],[Date]]+1),MAX(0,Horaires356734[[#This Row],[Fin corrigée si nuit]]-(1+deb_dimJF)),0))*24</f>
        <v>0</v>
      </c>
      <c r="S47" s="55">
        <f>(IF(COUNTIF(JF,Horaires356734[[#This Row],[Date]]),MAX(0,MIN(fin_dimJF,Horaires356734[[#This Row],[Fin corrigée si nuit]])-MAX(deb_dimJF,Horaires356734[[#This Row],[début]])),0)+IF(COUNTIF(JF,Horaires356734[[#This Row],[Date]]+1),MAX(0,Horaires356734[[#This Row],[Fin corrigée si nuit]]-(1+deb_dimJF)),0))*24-
(IF(COUNTIF(JF,Horaires356734[[#This Row],[Date]]),MAX(0,MIN(fin_dimJF,Horaires356734[[#This Row],[PNP Fin corrigée]])-MAX(deb_dimJF,Horaires356734[[#This Row],[PNP Début corrigé]])),0)+IF(COUNTIF(JF,Horaires356734[[#This Row],[Date]]+1),MAX(0,Horaires356734[[#This Row],[PNP Fin corrigée]]-(1+deb_dimJF)),0))*24</f>
        <v>0</v>
      </c>
    </row>
    <row r="48" spans="1:19" x14ac:dyDescent="0.35">
      <c r="A48" s="5"/>
      <c r="B48" s="1"/>
      <c r="C48" s="2"/>
      <c r="D48" s="2"/>
      <c r="E48" s="3"/>
      <c r="F48" s="3"/>
      <c r="G48" s="3"/>
      <c r="H48" s="3"/>
      <c r="I48" s="51">
        <f>0.1*(Horaires356734[[#This Row],[Heures de nuit]]+Horaires356734[[#This Row],[heures jour dimanche]]+Horaires356734[[#This Row],[heures jour fériés]])</f>
        <v>0</v>
      </c>
      <c r="J48" s="52">
        <f>(MOD(Horaires356734[[#This Row],[Fin]]-Horaires356734[[#This Row],[début]],1)-MOD(Horaires356734[[#This Row],[PNP Fin]]-Horaires356734[[#This Row],[PNP Début]],1))*24</f>
        <v>0</v>
      </c>
      <c r="K48" s="53">
        <f>IF(Horaires356734[[#This Row],[PNP Début]]=0,0,IF(Horaires356734[[#This Row],[PNP Début]]&lt;Horaires356734[[#This Row],[début]],1,0)+Horaires356734[[#This Row],[PNP Début]])</f>
        <v>0</v>
      </c>
      <c r="L48" s="54">
        <f>IF(Horaires356734[[#This Row],[PNP Fin]]=0,0,IF(Horaires356734[[#This Row],[PNP Fin]]&lt;Horaires356734[[#This Row],[début]],1,0)+Horaires356734[[#This Row],[PNP Fin]])</f>
        <v>0</v>
      </c>
      <c r="M48" s="54">
        <f>IF(Horaires356734[[#This Row],[Fin]]&lt;Horaires356734[[#This Row],[début]],1,0)+Horaires356734[[#This Row],[Fin]]</f>
        <v>0</v>
      </c>
      <c r="N48" s="35">
        <f>IF(Horaires356734[[#This Row],[Fin]]&lt;Horaires356734[[#This Row],[début]],MAX(0,MIN(Horaires356734[[#This Row],[Fin corrigée si nuit]],fin_nuit)-MAX(Horaires356734[[#This Row],[début]],deb_nuit))*24,(MAX(deb_nuit,Horaires356734[[#This Row],[Fin]])-MAX(deb_nuit,Horaires356734[[#This Row],[début]])+MAX(MIN(fin_nuit-1,Horaires356734[[#This Row],[Fin]])-MIN(fin_nuit-1,Horaires356734[[#This Row],[début]]),0))*24)</f>
        <v>0</v>
      </c>
      <c r="O48" s="55">
        <f>(MAX(0,MIN(Horaires356734[[#This Row],[Fin corrigée si nuit]],fin_nuit)-MAX(Horaires356734[[#This Row],[début]],deb_nuit))-IF(Horaires356734[[#This Row],[PNP Début]]=0,0,MIN(Horaires356734[[#This Row],[PNP Fin corrigée]],fin_nuit)-MAX(Horaires356734[[#This Row],[PNP Début corrigé]],deb_nuit)))*24</f>
        <v>0</v>
      </c>
      <c r="P48" s="55">
        <f>(IF(WEEKDAY(Horaires356734[[#This Row],[Date]],2)=7,MAX(0,MIN(fin_dimJF,Horaires356734[[#This Row],[Fin corrigée si nuit]])-MAX(deb_dimJF,Horaires356734[[#This Row],[début]])),0)+IF(WEEKDAY(Horaires356734[[#This Row],[Date]],2)=6,MAX(0,Horaires356734[[#This Row],[Fin corrigée si nuit]]-(1+deb_dimJF)),0))*24</f>
        <v>0</v>
      </c>
      <c r="Q48" s="55">
        <f>(IF(WEEKDAY(Horaires356734[[#This Row],[Date]],2)=7,MAX(0,MIN(fin_dimJF,Horaires356734[[#This Row],[Fin corrigée si nuit]])-MAX(deb_dimJF,Horaires356734[[#This Row],[début]])),0)+IF(WEEKDAY(Horaires356734[[#This Row],[Date]],2)=6,MAX(0,Horaires356734[[#This Row],[Fin corrigée si nuit]]-(1+deb_dimJF)),0))*24-
(IF(WEEKDAY(Horaires356734[[#This Row],[Date]],2)=7,MAX(0,MIN(fin_dimJF,Horaires356734[[#This Row],[PNP Fin corrigée]])-MAX(deb_dimJF,Horaires356734[[#This Row],[PNP Début corrigé]])),0)+IF(WEEKDAY(Horaires356734[[#This Row],[Date]],2)=6,MAX(0,Horaires356734[[#This Row],[PNP Fin corrigée]]-(1+deb_dimJF)),0))*24</f>
        <v>0</v>
      </c>
      <c r="R48" s="55">
        <f>(IF(COUNTIF(JF,Horaires356734[[#This Row],[Date]]),MAX(0,MIN(fin_dimJF,Horaires356734[[#This Row],[Fin corrigée si nuit]])-MAX(deb_dimJF,Horaires356734[[#This Row],[début]])),0)+IF(COUNTIF(JF,Horaires356734[[#This Row],[Date]]+1),MAX(0,Horaires356734[[#This Row],[Fin corrigée si nuit]]-(1+deb_dimJF)),0))*24</f>
        <v>0</v>
      </c>
      <c r="S48" s="55">
        <f>(IF(COUNTIF(JF,Horaires356734[[#This Row],[Date]]),MAX(0,MIN(fin_dimJF,Horaires356734[[#This Row],[Fin corrigée si nuit]])-MAX(deb_dimJF,Horaires356734[[#This Row],[début]])),0)+IF(COUNTIF(JF,Horaires356734[[#This Row],[Date]]+1),MAX(0,Horaires356734[[#This Row],[Fin corrigée si nuit]]-(1+deb_dimJF)),0))*24-
(IF(COUNTIF(JF,Horaires356734[[#This Row],[Date]]),MAX(0,MIN(fin_dimJF,Horaires356734[[#This Row],[PNP Fin corrigée]])-MAX(deb_dimJF,Horaires356734[[#This Row],[PNP Début corrigé]])),0)+IF(COUNTIF(JF,Horaires356734[[#This Row],[Date]]+1),MAX(0,Horaires356734[[#This Row],[PNP Fin corrigée]]-(1+deb_dimJF)),0))*24</f>
        <v>0</v>
      </c>
    </row>
    <row r="49" spans="1:19" ht="15" thickBot="1" x14ac:dyDescent="0.4">
      <c r="A49" s="5"/>
      <c r="B49" s="1"/>
      <c r="C49" s="2"/>
      <c r="D49" s="2"/>
      <c r="E49" s="3"/>
      <c r="F49" s="3"/>
      <c r="G49" s="3"/>
      <c r="H49" s="3"/>
      <c r="I49" s="51">
        <f>0.1*(Horaires356734[[#This Row],[Heures de nuit]]+Horaires356734[[#This Row],[heures jour dimanche]]+Horaires356734[[#This Row],[heures jour fériés]])</f>
        <v>0</v>
      </c>
      <c r="J49" s="52">
        <f>(MOD(Horaires356734[[#This Row],[Fin]]-Horaires356734[[#This Row],[début]],1)-MOD(Horaires356734[[#This Row],[PNP Fin]]-Horaires356734[[#This Row],[PNP Début]],1))*24</f>
        <v>0</v>
      </c>
      <c r="K49" s="53">
        <f>IF(Horaires356734[[#This Row],[PNP Début]]=0,0,IF(Horaires356734[[#This Row],[PNP Début]]&lt;Horaires356734[[#This Row],[début]],1,0)+Horaires356734[[#This Row],[PNP Début]])</f>
        <v>0</v>
      </c>
      <c r="L49" s="54">
        <f>IF(Horaires356734[[#This Row],[PNP Fin]]=0,0,IF(Horaires356734[[#This Row],[PNP Fin]]&lt;Horaires356734[[#This Row],[début]],1,0)+Horaires356734[[#This Row],[PNP Fin]])</f>
        <v>0</v>
      </c>
      <c r="M49" s="54">
        <f>IF(Horaires356734[[#This Row],[Fin]]&lt;Horaires356734[[#This Row],[début]],1,0)+Horaires356734[[#This Row],[Fin]]</f>
        <v>0</v>
      </c>
      <c r="N49" s="35">
        <f>IF(Horaires356734[[#This Row],[Fin]]&lt;Horaires356734[[#This Row],[début]],MAX(0,MIN(Horaires356734[[#This Row],[Fin corrigée si nuit]],fin_nuit)-MAX(Horaires356734[[#This Row],[début]],deb_nuit))*24,(MAX(deb_nuit,Horaires356734[[#This Row],[Fin]])-MAX(deb_nuit,Horaires356734[[#This Row],[début]])+MAX(MIN(fin_nuit-1,Horaires356734[[#This Row],[Fin]])-MIN(fin_nuit-1,Horaires356734[[#This Row],[début]]),0))*24)</f>
        <v>0</v>
      </c>
      <c r="O49" s="55">
        <f>(MAX(0,MIN(Horaires356734[[#This Row],[Fin corrigée si nuit]],fin_nuit)-MAX(Horaires356734[[#This Row],[début]],deb_nuit))-IF(Horaires356734[[#This Row],[PNP Début]]=0,0,MIN(Horaires356734[[#This Row],[PNP Fin corrigée]],fin_nuit)-MAX(Horaires356734[[#This Row],[PNP Début corrigé]],deb_nuit)))*24</f>
        <v>0</v>
      </c>
      <c r="P49" s="55">
        <f>(IF(WEEKDAY(Horaires356734[[#This Row],[Date]],2)=7,MAX(0,MIN(fin_dimJF,Horaires356734[[#This Row],[Fin corrigée si nuit]])-MAX(deb_dimJF,Horaires356734[[#This Row],[début]])),0)+IF(WEEKDAY(Horaires356734[[#This Row],[Date]],2)=6,MAX(0,Horaires356734[[#This Row],[Fin corrigée si nuit]]-(1+deb_dimJF)),0))*24</f>
        <v>0</v>
      </c>
      <c r="Q49" s="55">
        <f>(IF(WEEKDAY(Horaires356734[[#This Row],[Date]],2)=7,MAX(0,MIN(fin_dimJF,Horaires356734[[#This Row],[Fin corrigée si nuit]])-MAX(deb_dimJF,Horaires356734[[#This Row],[début]])),0)+IF(WEEKDAY(Horaires356734[[#This Row],[Date]],2)=6,MAX(0,Horaires356734[[#This Row],[Fin corrigée si nuit]]-(1+deb_dimJF)),0))*24-
(IF(WEEKDAY(Horaires356734[[#This Row],[Date]],2)=7,MAX(0,MIN(fin_dimJF,Horaires356734[[#This Row],[PNP Fin corrigée]])-MAX(deb_dimJF,Horaires356734[[#This Row],[PNP Début corrigé]])),0)+IF(WEEKDAY(Horaires356734[[#This Row],[Date]],2)=6,MAX(0,Horaires356734[[#This Row],[PNP Fin corrigée]]-(1+deb_dimJF)),0))*24</f>
        <v>0</v>
      </c>
      <c r="R49" s="55">
        <f>(IF(COUNTIF(JF,Horaires356734[[#This Row],[Date]]),MAX(0,MIN(fin_dimJF,Horaires356734[[#This Row],[Fin corrigée si nuit]])-MAX(deb_dimJF,Horaires356734[[#This Row],[début]])),0)+IF(COUNTIF(JF,Horaires356734[[#This Row],[Date]]+1),MAX(0,Horaires356734[[#This Row],[Fin corrigée si nuit]]-(1+deb_dimJF)),0))*24</f>
        <v>0</v>
      </c>
      <c r="S49" s="55">
        <f>(IF(COUNTIF(JF,Horaires356734[[#This Row],[Date]]),MAX(0,MIN(fin_dimJF,Horaires356734[[#This Row],[Fin corrigée si nuit]])-MAX(deb_dimJF,Horaires356734[[#This Row],[début]])),0)+IF(COUNTIF(JF,Horaires356734[[#This Row],[Date]]+1),MAX(0,Horaires356734[[#This Row],[Fin corrigée si nuit]]-(1+deb_dimJF)),0))*24-
(IF(COUNTIF(JF,Horaires356734[[#This Row],[Date]]),MAX(0,MIN(fin_dimJF,Horaires356734[[#This Row],[PNP Fin corrigée]])-MAX(deb_dimJF,Horaires356734[[#This Row],[PNP Début corrigé]])),0)+IF(COUNTIF(JF,Horaires356734[[#This Row],[Date]]+1),MAX(0,Horaires356734[[#This Row],[PNP Fin corrigée]]-(1+deb_dimJF)),0))*24</f>
        <v>0</v>
      </c>
    </row>
    <row r="50" spans="1:19" ht="16" thickBot="1" x14ac:dyDescent="0.4">
      <c r="A50" s="56"/>
      <c r="B50" s="19"/>
      <c r="C50" s="19"/>
      <c r="D50" s="19"/>
      <c r="E50" s="113" t="s">
        <v>29</v>
      </c>
      <c r="F50" s="114"/>
      <c r="G50" s="114"/>
      <c r="H50" s="115"/>
      <c r="I50" s="57">
        <f>SUM(Horaires356734[Majoration])</f>
        <v>0</v>
      </c>
      <c r="J50" s="58">
        <f>SUM(Horaires356734[Heures totales payées])</f>
        <v>0</v>
      </c>
      <c r="K50" s="19"/>
      <c r="L50" s="19"/>
      <c r="M50" s="19"/>
      <c r="N50" s="19"/>
      <c r="O50" s="19"/>
      <c r="P50" s="19"/>
      <c r="Q50" s="19"/>
      <c r="R50" s="19"/>
      <c r="S50" s="19"/>
    </row>
    <row r="51" spans="1:19" ht="17.399999999999999" customHeight="1" x14ac:dyDescent="0.35">
      <c r="A51" s="116" t="s">
        <v>30</v>
      </c>
      <c r="B51" s="116"/>
      <c r="C51" s="116"/>
      <c r="D51" s="116"/>
      <c r="E51" s="19"/>
      <c r="F51" s="19"/>
      <c r="G51" s="117" t="s">
        <v>31</v>
      </c>
      <c r="H51" s="117"/>
      <c r="I51" s="117"/>
      <c r="J51" s="117"/>
      <c r="K51" s="19"/>
      <c r="L51" s="19"/>
      <c r="M51" s="19"/>
      <c r="N51" s="19"/>
      <c r="O51" s="19"/>
      <c r="P51" s="19"/>
      <c r="Q51" s="19"/>
      <c r="R51" s="19"/>
      <c r="S51" s="19"/>
    </row>
    <row r="52" spans="1:19" x14ac:dyDescent="0.35">
      <c r="A52" s="118"/>
      <c r="B52" s="119"/>
      <c r="C52" s="119"/>
      <c r="D52" s="120"/>
      <c r="E52" s="56"/>
      <c r="F52" s="19"/>
      <c r="G52" s="118"/>
      <c r="H52" s="119"/>
      <c r="I52" s="119"/>
      <c r="J52" s="119"/>
      <c r="K52" s="19"/>
      <c r="L52" s="19"/>
      <c r="M52" s="19"/>
      <c r="N52" s="19"/>
      <c r="O52" s="19"/>
      <c r="P52" s="19"/>
      <c r="Q52" s="19"/>
      <c r="R52" s="19"/>
      <c r="S52" s="19"/>
    </row>
    <row r="53" spans="1:19" x14ac:dyDescent="0.35">
      <c r="A53" s="121"/>
      <c r="B53" s="122"/>
      <c r="C53" s="122"/>
      <c r="D53" s="123"/>
      <c r="E53" s="19"/>
      <c r="F53" s="19"/>
      <c r="G53" s="121"/>
      <c r="H53" s="122"/>
      <c r="I53" s="122"/>
      <c r="J53" s="122"/>
      <c r="K53" s="19"/>
      <c r="L53" s="19"/>
      <c r="M53" s="19"/>
      <c r="N53" s="19"/>
      <c r="O53" s="19"/>
      <c r="P53" s="19"/>
      <c r="Q53" s="19"/>
      <c r="R53" s="19"/>
      <c r="S53" s="19"/>
    </row>
    <row r="54" spans="1:19" ht="7.75" customHeight="1" x14ac:dyDescent="0.35">
      <c r="A54" s="124"/>
      <c r="B54" s="125"/>
      <c r="C54" s="125"/>
      <c r="D54" s="126"/>
      <c r="E54" s="56"/>
      <c r="F54" s="19"/>
      <c r="G54" s="124"/>
      <c r="H54" s="125"/>
      <c r="I54" s="125"/>
      <c r="J54" s="125"/>
      <c r="K54" s="19"/>
      <c r="L54" s="19"/>
      <c r="M54" s="19"/>
      <c r="N54" s="19"/>
      <c r="O54" s="19"/>
      <c r="P54" s="19"/>
      <c r="Q54" s="19"/>
      <c r="R54" s="19"/>
      <c r="S54" s="19"/>
    </row>
    <row r="55" spans="1:19" x14ac:dyDescent="0.35">
      <c r="A55" s="56"/>
      <c r="B55" s="19"/>
      <c r="C55" s="19"/>
      <c r="D55" s="19"/>
      <c r="E55" s="19"/>
      <c r="F55" s="19"/>
      <c r="G55" s="19"/>
      <c r="H55" s="19"/>
      <c r="I55" s="19"/>
      <c r="J55" s="62"/>
      <c r="K55" s="19"/>
      <c r="L55" s="19"/>
      <c r="M55" s="19"/>
      <c r="N55" s="19"/>
      <c r="O55" s="19"/>
      <c r="P55" s="19"/>
      <c r="Q55" s="19"/>
      <c r="R55" s="19"/>
      <c r="S55" s="19"/>
    </row>
    <row r="56" spans="1:19" x14ac:dyDescent="0.35">
      <c r="A56" s="19"/>
      <c r="B56" s="19"/>
      <c r="C56" s="19"/>
      <c r="D56" s="19"/>
      <c r="E56" s="19"/>
      <c r="F56" s="19"/>
      <c r="G56" s="19"/>
      <c r="H56" s="19"/>
      <c r="I56" s="19"/>
      <c r="J56" s="20"/>
      <c r="K56" s="19"/>
      <c r="L56" s="19"/>
      <c r="M56" s="19"/>
      <c r="N56" s="19"/>
      <c r="O56" s="19"/>
      <c r="P56" s="19"/>
      <c r="Q56" s="19"/>
      <c r="R56" s="19"/>
      <c r="S56" s="19"/>
    </row>
    <row r="57" spans="1:19" x14ac:dyDescent="0.35">
      <c r="A57" s="19"/>
      <c r="B57" s="19"/>
      <c r="C57" s="19"/>
      <c r="D57" s="19"/>
      <c r="E57" s="19"/>
      <c r="F57" s="19"/>
      <c r="G57" s="19"/>
      <c r="H57" s="19"/>
      <c r="I57" s="19"/>
      <c r="J57" s="20"/>
      <c r="K57" s="19"/>
      <c r="L57" s="19"/>
      <c r="M57" s="19"/>
      <c r="N57" s="19"/>
      <c r="O57" s="19"/>
      <c r="P57" s="19"/>
      <c r="Q57" s="19"/>
      <c r="R57" s="19"/>
      <c r="S57" s="19"/>
    </row>
    <row r="58" spans="1:19" x14ac:dyDescent="0.35">
      <c r="A58" s="19"/>
      <c r="B58" s="19"/>
      <c r="C58" s="19"/>
      <c r="D58" s="19"/>
      <c r="E58" s="19"/>
      <c r="F58" s="19"/>
      <c r="G58" s="19"/>
      <c r="H58" s="19"/>
      <c r="I58" s="19"/>
      <c r="J58" s="20"/>
      <c r="K58" s="19"/>
      <c r="L58" s="19"/>
      <c r="M58" s="19"/>
      <c r="N58" s="19"/>
      <c r="O58" s="19"/>
      <c r="P58" s="19"/>
      <c r="Q58" s="19"/>
      <c r="R58" s="19"/>
      <c r="S58" s="19"/>
    </row>
    <row r="59" spans="1:19" x14ac:dyDescent="0.35">
      <c r="A59" s="19"/>
      <c r="B59" s="19"/>
      <c r="C59" s="19"/>
      <c r="D59" s="19"/>
      <c r="E59" s="19"/>
      <c r="F59" s="19"/>
      <c r="G59" s="19"/>
      <c r="H59" s="19"/>
      <c r="I59" s="19"/>
      <c r="J59" s="20"/>
      <c r="K59" s="19"/>
      <c r="L59" s="19"/>
      <c r="M59" s="19"/>
      <c r="N59" s="19"/>
      <c r="O59" s="19"/>
      <c r="P59" s="19"/>
      <c r="Q59" s="19"/>
      <c r="R59" s="19"/>
      <c r="S59" s="19"/>
    </row>
    <row r="60" spans="1:19" x14ac:dyDescent="0.35">
      <c r="A60" s="19"/>
      <c r="B60" s="19"/>
      <c r="C60" s="19"/>
      <c r="D60" s="19"/>
      <c r="E60" s="19"/>
      <c r="F60" s="19"/>
      <c r="G60" s="19"/>
      <c r="H60" s="19"/>
      <c r="I60" s="19"/>
      <c r="J60" s="20"/>
      <c r="K60" s="19"/>
      <c r="L60" s="19"/>
      <c r="M60" s="19"/>
      <c r="N60" s="19"/>
      <c r="O60" s="19"/>
      <c r="P60" s="19"/>
      <c r="Q60" s="19"/>
      <c r="R60" s="19"/>
      <c r="S60" s="19"/>
    </row>
  </sheetData>
  <sheetProtection selectLockedCells="1"/>
  <mergeCells count="19">
    <mergeCell ref="E50:H50"/>
    <mergeCell ref="A51:D51"/>
    <mergeCell ref="G51:J51"/>
    <mergeCell ref="A52:D54"/>
    <mergeCell ref="G52:J54"/>
    <mergeCell ref="A1:B2"/>
    <mergeCell ref="A3:J4"/>
    <mergeCell ref="D5:F5"/>
    <mergeCell ref="G5:H5"/>
    <mergeCell ref="J9:J11"/>
    <mergeCell ref="C10:C11"/>
    <mergeCell ref="D10:D11"/>
    <mergeCell ref="E10:F10"/>
    <mergeCell ref="G10:H10"/>
    <mergeCell ref="A9:A11"/>
    <mergeCell ref="B9:B11"/>
    <mergeCell ref="C9:D9"/>
    <mergeCell ref="E9:H9"/>
    <mergeCell ref="I9:I11"/>
  </mergeCells>
  <dataValidations count="3">
    <dataValidation type="date" operator="greaterThan" allowBlank="1" showInputMessage="1" showErrorMessage="1" error="Tapez le mois sous le format suivant_x000a_09/17" promptTitle="Mois du relevé" sqref="J5">
      <formula1>42736</formula1>
    </dataValidation>
    <dataValidation type="time" allowBlank="1" showInputMessage="1" showErrorMessage="1" error="Tapez les heures sous le format_x000a_00:00" sqref="C13:H49">
      <formula1>0</formula1>
      <formula2>0.999305555555556</formula2>
    </dataValidation>
    <dataValidation allowBlank="1" showInputMessage="1" showErrorMessage="1" error="Tapez les heures sous le format_x000a_00:00" sqref="K12:N49"/>
  </dataValidations>
  <printOptions horizontalCentered="1"/>
  <pageMargins left="0" right="0" top="0" bottom="0" header="0" footer="0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7169" r:id="rId4" name="CommandButton1">
          <controlPr defaultSize="0" print="0" autoLine="0" r:id="rId5">
            <anchor moveWithCells="1">
              <from>
                <xdr:col>19</xdr:col>
                <xdr:colOff>0</xdr:colOff>
                <xdr:row>0</xdr:row>
                <xdr:rowOff>177800</xdr:rowOff>
              </from>
              <to>
                <xdr:col>20</xdr:col>
                <xdr:colOff>31750</xdr:colOff>
                <xdr:row>4</xdr:row>
                <xdr:rowOff>63500</xdr:rowOff>
              </to>
            </anchor>
          </controlPr>
        </control>
      </mc:Choice>
      <mc:Fallback>
        <control shapeId="7169" r:id="rId4" name="CommandButton1"/>
      </mc:Fallback>
    </mc:AlternateContent>
  </controls>
  <tableParts count="1">
    <tablePart r:id="rId6"/>
  </tableParts>
</worksheet>
</file>

<file path=xl/worksheets/sheet8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8"/>
  <dimension ref="A1:S60"/>
  <sheetViews>
    <sheetView workbookViewId="0">
      <selection activeCell="T24" sqref="T24"/>
    </sheetView>
  </sheetViews>
  <sheetFormatPr baseColWidth="10" defaultRowHeight="14.5" x14ac:dyDescent="0.35"/>
  <cols>
    <col min="1" max="1" width="20.1796875" customWidth="1"/>
    <col min="2" max="2" width="12.90625" customWidth="1"/>
    <col min="3" max="3" width="8.90625" customWidth="1"/>
    <col min="4" max="4" width="7.453125" customWidth="1"/>
    <col min="5" max="5" width="7" customWidth="1"/>
    <col min="6" max="6" width="6.81640625" customWidth="1"/>
    <col min="7" max="7" width="7" customWidth="1"/>
    <col min="8" max="8" width="7.81640625" customWidth="1"/>
    <col min="9" max="9" width="10.81640625" customWidth="1"/>
    <col min="10" max="10" width="11.54296875" style="15" customWidth="1"/>
    <col min="11" max="11" width="14.453125" hidden="1" customWidth="1"/>
    <col min="12" max="12" width="12.08984375" hidden="1" customWidth="1"/>
    <col min="13" max="13" width="15" hidden="1" customWidth="1"/>
    <col min="14" max="15" width="13.81640625" hidden="1" customWidth="1"/>
    <col min="16" max="19" width="15" hidden="1" customWidth="1"/>
  </cols>
  <sheetData>
    <row r="1" spans="1:19" ht="15.65" customHeight="1" x14ac:dyDescent="0.35">
      <c r="A1" s="101" t="s">
        <v>48</v>
      </c>
      <c r="B1" s="101"/>
      <c r="C1" s="16"/>
      <c r="D1" s="16"/>
      <c r="E1" s="17"/>
      <c r="F1" s="17"/>
      <c r="G1" s="17"/>
      <c r="H1" s="18" t="s">
        <v>35</v>
      </c>
      <c r="I1" s="18"/>
      <c r="J1" s="18"/>
      <c r="K1" s="16"/>
      <c r="L1" s="16"/>
      <c r="M1" s="16"/>
      <c r="N1" s="16"/>
      <c r="O1" s="19"/>
      <c r="P1" s="19"/>
      <c r="Q1" s="19"/>
      <c r="R1" s="19"/>
      <c r="S1" s="19"/>
    </row>
    <row r="2" spans="1:19" ht="14.4" customHeight="1" x14ac:dyDescent="0.35">
      <c r="A2" s="101"/>
      <c r="B2" s="101"/>
      <c r="C2" s="16"/>
      <c r="D2" s="16"/>
      <c r="E2" s="16"/>
      <c r="F2" s="16"/>
      <c r="G2" s="16"/>
      <c r="H2" s="16"/>
      <c r="I2" s="16"/>
      <c r="J2" s="20"/>
      <c r="K2" s="16"/>
      <c r="L2" s="16"/>
      <c r="M2" s="16"/>
      <c r="N2" s="16"/>
      <c r="O2" s="19"/>
      <c r="P2" s="19"/>
      <c r="Q2" s="19"/>
      <c r="R2" s="19"/>
      <c r="S2" s="19"/>
    </row>
    <row r="3" spans="1:19" ht="14.4" customHeight="1" x14ac:dyDescent="0.35">
      <c r="A3" s="102" t="s">
        <v>37</v>
      </c>
      <c r="B3" s="102"/>
      <c r="C3" s="102"/>
      <c r="D3" s="102"/>
      <c r="E3" s="102"/>
      <c r="F3" s="102"/>
      <c r="G3" s="102"/>
      <c r="H3" s="102"/>
      <c r="I3" s="102"/>
      <c r="J3" s="102"/>
      <c r="K3" s="16"/>
      <c r="L3" s="16"/>
      <c r="M3" s="16"/>
      <c r="N3" s="16"/>
      <c r="O3" s="19"/>
      <c r="P3" s="19"/>
      <c r="Q3" s="19"/>
      <c r="R3" s="19"/>
      <c r="S3" s="19"/>
    </row>
    <row r="4" spans="1:19" ht="19.25" customHeight="1" thickBot="1" x14ac:dyDescent="0.4">
      <c r="A4" s="103"/>
      <c r="B4" s="103"/>
      <c r="C4" s="103"/>
      <c r="D4" s="103"/>
      <c r="E4" s="103"/>
      <c r="F4" s="103"/>
      <c r="G4" s="103"/>
      <c r="H4" s="103"/>
      <c r="I4" s="103"/>
      <c r="J4" s="103"/>
      <c r="K4" s="19"/>
      <c r="L4" s="19"/>
      <c r="M4" s="19"/>
      <c r="N4" s="19"/>
      <c r="O4" s="19"/>
      <c r="P4" s="19"/>
      <c r="Q4" s="19"/>
      <c r="R4" s="19"/>
      <c r="S4" s="19"/>
    </row>
    <row r="5" spans="1:19" ht="19.75" customHeight="1" x14ac:dyDescent="0.35">
      <c r="A5" s="95" t="s">
        <v>113</v>
      </c>
      <c r="B5" s="96">
        <f>'Janvier 18'!B5</f>
        <v>0</v>
      </c>
      <c r="C5" s="21" t="s">
        <v>36</v>
      </c>
      <c r="D5" s="104">
        <f>'Janvier 18'!D5:F5</f>
        <v>0</v>
      </c>
      <c r="E5" s="105"/>
      <c r="F5" s="105"/>
      <c r="G5" s="106" t="s">
        <v>22</v>
      </c>
      <c r="H5" s="106"/>
      <c r="I5" s="64" t="str">
        <f ca="1">MID(CELL("filename",A1),FIND("]",CELL("filename",A1))+1,99)</f>
        <v>Mai 18</v>
      </c>
      <c r="J5" s="97"/>
      <c r="K5" s="19"/>
      <c r="L5" s="19"/>
      <c r="M5" s="19"/>
      <c r="N5" s="19"/>
      <c r="O5" s="19"/>
      <c r="P5" s="19"/>
      <c r="Q5" s="19"/>
      <c r="R5" s="19"/>
      <c r="S5" s="19"/>
    </row>
    <row r="6" spans="1:19" ht="9.65" customHeight="1" x14ac:dyDescent="0.35">
      <c r="A6" s="22"/>
      <c r="B6" s="23"/>
      <c r="C6" s="23"/>
      <c r="D6" s="23"/>
      <c r="E6" s="23"/>
      <c r="F6" s="23"/>
      <c r="G6" s="23"/>
      <c r="H6" s="23"/>
      <c r="I6" s="23"/>
      <c r="J6" s="24"/>
      <c r="K6" s="19"/>
      <c r="L6" s="19"/>
      <c r="M6" s="19"/>
      <c r="N6" s="19"/>
      <c r="O6" s="19"/>
      <c r="P6" s="19"/>
      <c r="Q6" s="19"/>
      <c r="R6" s="19"/>
      <c r="S6" s="19"/>
    </row>
    <row r="7" spans="1:19" ht="15" thickBot="1" x14ac:dyDescent="0.4">
      <c r="A7" s="59" t="s">
        <v>23</v>
      </c>
      <c r="B7" s="98">
        <f>'Janvier 18'!B7</f>
        <v>0</v>
      </c>
      <c r="C7" s="25" t="s">
        <v>24</v>
      </c>
      <c r="D7" s="25"/>
      <c r="E7" s="98">
        <f>'Janvier 18'!E7</f>
        <v>0</v>
      </c>
      <c r="F7" s="25"/>
      <c r="G7" s="25"/>
      <c r="H7" s="25"/>
      <c r="I7" s="25"/>
      <c r="J7" s="26"/>
      <c r="K7" s="19"/>
      <c r="L7" s="19"/>
      <c r="M7" s="19"/>
      <c r="N7" s="19"/>
      <c r="O7" s="19"/>
      <c r="P7" s="19"/>
      <c r="Q7" s="19"/>
      <c r="R7" s="19"/>
      <c r="S7" s="19"/>
    </row>
    <row r="8" spans="1:19" ht="9.65" customHeight="1" x14ac:dyDescent="0.35">
      <c r="A8" s="19"/>
      <c r="B8" s="19"/>
      <c r="C8" s="19"/>
      <c r="D8" s="19"/>
      <c r="E8" s="19"/>
      <c r="F8" s="19"/>
      <c r="G8" s="19"/>
      <c r="H8" s="19"/>
      <c r="I8" s="19"/>
      <c r="J8" s="20"/>
      <c r="K8" s="19"/>
      <c r="L8" s="19"/>
      <c r="M8" s="19"/>
      <c r="N8" s="19"/>
      <c r="O8" s="19"/>
      <c r="P8" s="19"/>
      <c r="Q8" s="19"/>
      <c r="R8" s="19"/>
      <c r="S8" s="19"/>
    </row>
    <row r="9" spans="1:19" ht="16.75" customHeight="1" x14ac:dyDescent="0.35">
      <c r="A9" s="111" t="s">
        <v>0</v>
      </c>
      <c r="B9" s="111" t="s">
        <v>1</v>
      </c>
      <c r="C9" s="111" t="s">
        <v>2</v>
      </c>
      <c r="D9" s="111"/>
      <c r="E9" s="110" t="s">
        <v>25</v>
      </c>
      <c r="F9" s="110"/>
      <c r="G9" s="110"/>
      <c r="H9" s="110"/>
      <c r="I9" s="112" t="s">
        <v>21</v>
      </c>
      <c r="J9" s="108" t="s">
        <v>65</v>
      </c>
      <c r="K9" s="19"/>
      <c r="L9" s="19"/>
      <c r="M9" s="19"/>
      <c r="N9" s="19"/>
      <c r="O9" s="19"/>
      <c r="P9" s="19"/>
      <c r="Q9" s="19"/>
      <c r="R9" s="19"/>
      <c r="S9" s="19"/>
    </row>
    <row r="10" spans="1:19" x14ac:dyDescent="0.35">
      <c r="A10" s="111"/>
      <c r="B10" s="111"/>
      <c r="C10" s="109" t="s">
        <v>3</v>
      </c>
      <c r="D10" s="109" t="s">
        <v>4</v>
      </c>
      <c r="E10" s="110" t="s">
        <v>26</v>
      </c>
      <c r="F10" s="110"/>
      <c r="G10" s="110" t="s">
        <v>27</v>
      </c>
      <c r="H10" s="110"/>
      <c r="I10" s="112"/>
      <c r="J10" s="108"/>
      <c r="K10" s="19"/>
      <c r="L10" s="19"/>
      <c r="M10" s="19"/>
      <c r="N10" s="19"/>
      <c r="O10" s="19"/>
      <c r="P10" s="19"/>
      <c r="Q10" s="19"/>
      <c r="R10" s="19"/>
      <c r="S10" s="19"/>
    </row>
    <row r="11" spans="1:19" x14ac:dyDescent="0.35">
      <c r="A11" s="111"/>
      <c r="B11" s="111"/>
      <c r="C11" s="109"/>
      <c r="D11" s="109"/>
      <c r="E11" s="72" t="s">
        <v>28</v>
      </c>
      <c r="F11" s="72" t="s">
        <v>4</v>
      </c>
      <c r="G11" s="72" t="s">
        <v>28</v>
      </c>
      <c r="H11" s="72" t="s">
        <v>4</v>
      </c>
      <c r="I11" s="112"/>
      <c r="J11" s="108"/>
      <c r="K11" s="27"/>
      <c r="L11" s="19"/>
      <c r="M11" s="19"/>
      <c r="N11" s="19"/>
      <c r="O11" s="19"/>
      <c r="P11" s="19"/>
      <c r="Q11" s="19"/>
      <c r="R11" s="19"/>
      <c r="S11" s="19"/>
    </row>
    <row r="12" spans="1:19" s="8" customFormat="1" ht="43.5" hidden="1" x14ac:dyDescent="0.35">
      <c r="A12" s="28" t="s">
        <v>0</v>
      </c>
      <c r="B12" s="29" t="s">
        <v>1</v>
      </c>
      <c r="C12" s="29" t="s">
        <v>3</v>
      </c>
      <c r="D12" s="29" t="s">
        <v>4</v>
      </c>
      <c r="E12" s="29" t="s">
        <v>8</v>
      </c>
      <c r="F12" s="29" t="s">
        <v>9</v>
      </c>
      <c r="G12" s="29" t="s">
        <v>10</v>
      </c>
      <c r="H12" s="29" t="s">
        <v>11</v>
      </c>
      <c r="I12" s="30" t="s">
        <v>21</v>
      </c>
      <c r="J12" s="29" t="s">
        <v>12</v>
      </c>
      <c r="K12" s="29" t="s">
        <v>18</v>
      </c>
      <c r="L12" s="29" t="s">
        <v>19</v>
      </c>
      <c r="M12" s="29" t="s">
        <v>17</v>
      </c>
      <c r="N12" s="29" t="s">
        <v>32</v>
      </c>
      <c r="O12" s="29" t="s">
        <v>20</v>
      </c>
      <c r="P12" s="29" t="s">
        <v>5</v>
      </c>
      <c r="Q12" s="29" t="s">
        <v>33</v>
      </c>
      <c r="R12" s="31" t="s">
        <v>6</v>
      </c>
      <c r="S12" s="31" t="s">
        <v>34</v>
      </c>
    </row>
    <row r="13" spans="1:19" x14ac:dyDescent="0.35">
      <c r="A13" s="5"/>
      <c r="B13" s="1"/>
      <c r="C13" s="2"/>
      <c r="D13" s="2"/>
      <c r="E13" s="3"/>
      <c r="F13" s="3"/>
      <c r="G13" s="3"/>
      <c r="H13" s="3"/>
      <c r="I13" s="32">
        <f>0.1*(Horaires3567345[[#This Row],[Heures de nuit]]+Horaires3567345[[#This Row],[heures jour dimanche]]+Horaires3567345[[#This Row],[heures jour fériés]])</f>
        <v>0</v>
      </c>
      <c r="J13" s="33">
        <f>(MOD(Horaires3567345[[#This Row],[Fin]]-Horaires3567345[[#This Row],[début]],1)-MOD(Horaires3567345[[#This Row],[PNP Fin]]-Horaires3567345[[#This Row],[PNP Début]],1))*24</f>
        <v>0</v>
      </c>
      <c r="K13" s="34">
        <f>IF(Horaires3567345[[#This Row],[PNP Début]]=0,0,IF(Horaires3567345[[#This Row],[PNP Début]]&lt;Horaires3567345[[#This Row],[début]],1,0)+Horaires3567345[[#This Row],[PNP Début]])</f>
        <v>0</v>
      </c>
      <c r="L13" s="34">
        <f>IF(Horaires3567345[[#This Row],[PNP Fin]]=0,0,IF(Horaires3567345[[#This Row],[PNP Fin]]&lt;Horaires3567345[[#This Row],[début]],1,0)+Horaires3567345[[#This Row],[PNP Fin]])</f>
        <v>0</v>
      </c>
      <c r="M13" s="34">
        <f>IF(Horaires3567345[[#This Row],[Fin]]&lt;Horaires3567345[[#This Row],[début]],1,0)+Horaires3567345[[#This Row],[Fin]]</f>
        <v>0</v>
      </c>
      <c r="N13" s="35">
        <f>IF(Horaires3567345[[#This Row],[Fin]]&lt;Horaires3567345[[#This Row],[début]],MAX(0,MIN(Horaires3567345[[#This Row],[Fin corrigée si nuit]],fin_nuit)-MAX(Horaires3567345[[#This Row],[début]],deb_nuit))*24,(MAX(deb_nuit,Horaires3567345[[#This Row],[Fin]])-MAX(deb_nuit,Horaires3567345[[#This Row],[début]])+MAX(MIN(fin_nuit-1,Horaires3567345[[#This Row],[Fin]])-MIN(fin_nuit-1,Horaires3567345[[#This Row],[début]]),0))*24)</f>
        <v>0</v>
      </c>
      <c r="O13" s="35">
        <f>(MAX(0,MIN(Horaires3567345[[#This Row],[Fin corrigée si nuit]],fin_nuit)-MAX(Horaires3567345[[#This Row],[début]],deb_nuit))-IF(Horaires3567345[[#This Row],[PNP Début]]=0,0,MIN(Horaires3567345[[#This Row],[PNP Fin corrigée]],fin_nuit)-MAX(Horaires3567345[[#This Row],[PNP Début corrigé]],deb_nuit)))*24</f>
        <v>0</v>
      </c>
      <c r="P13" s="35">
        <f>(IF(WEEKDAY(Horaires3567345[[#This Row],[Date]],2)=7,MAX(0,MIN(fin_dimJF,Horaires3567345[[#This Row],[Fin corrigée si nuit]])-MAX(deb_dimJF,Horaires3567345[[#This Row],[début]])),0)+IF(WEEKDAY(Horaires3567345[[#This Row],[Date]],2)=6,MAX(0,Horaires3567345[[#This Row],[Fin corrigée si nuit]]-(1+deb_dimJF)),0))*24</f>
        <v>0</v>
      </c>
      <c r="Q13" s="35">
        <f>(IF(WEEKDAY(Horaires3567345[[#This Row],[Date]],2)=7,MAX(0,MIN(fin_dimJF,Horaires3567345[[#This Row],[Fin corrigée si nuit]])-MAX(deb_dimJF,Horaires3567345[[#This Row],[début]])),0)+IF(WEEKDAY(Horaires3567345[[#This Row],[Date]],2)=6,MAX(0,Horaires3567345[[#This Row],[Fin corrigée si nuit]]-(1+deb_dimJF)),0))*24-
(IF(WEEKDAY(Horaires3567345[[#This Row],[Date]],2)=7,MAX(0,MIN(fin_dimJF,Horaires3567345[[#This Row],[PNP Fin corrigée]])-MAX(deb_dimJF,Horaires3567345[[#This Row],[PNP Début corrigé]])),0)+IF(WEEKDAY(Horaires3567345[[#This Row],[Date]],2)=6,MAX(0,Horaires3567345[[#This Row],[PNP Fin corrigée]]-(1+deb_dimJF)),0))*24</f>
        <v>0</v>
      </c>
      <c r="R13" s="36">
        <f>(IF(COUNTIF(JF,Horaires3567345[[#This Row],[Date]]),MAX(0,MIN(fin_dimJF,Horaires3567345[[#This Row],[Fin corrigée si nuit]])-MAX(deb_dimJF,Horaires3567345[[#This Row],[début]])),0)+IF(COUNTIF(JF,Horaires3567345[[#This Row],[Date]]+1),MAX(0,Horaires3567345[[#This Row],[Fin corrigée si nuit]]-(1+deb_dimJF)),0))*24</f>
        <v>0</v>
      </c>
      <c r="S13" s="36">
        <f>(IF(COUNTIF(JF,Horaires3567345[[#This Row],[Date]]),MAX(0,MIN(fin_dimJF,Horaires3567345[[#This Row],[Fin corrigée si nuit]])-MAX(deb_dimJF,Horaires3567345[[#This Row],[début]])),0)+IF(COUNTIF(JF,Horaires3567345[[#This Row],[Date]]+1),MAX(0,Horaires3567345[[#This Row],[Fin corrigée si nuit]]-(1+deb_dimJF)),0))*24-
(IF(COUNTIF(JF,Horaires3567345[[#This Row],[Date]]),MAX(0,MIN(fin_dimJF,Horaires3567345[[#This Row],[PNP Fin corrigée]])-MAX(deb_dimJF,Horaires3567345[[#This Row],[PNP Début corrigé]])),0)+IF(COUNTIF(JF,Horaires3567345[[#This Row],[Date]]+1),MAX(0,Horaires3567345[[#This Row],[PNP Fin corrigée]]-(1+deb_dimJF)),0))*24</f>
        <v>0</v>
      </c>
    </row>
    <row r="14" spans="1:19" x14ac:dyDescent="0.35">
      <c r="A14" s="5"/>
      <c r="B14" s="1"/>
      <c r="C14" s="2"/>
      <c r="D14" s="2"/>
      <c r="E14" s="3"/>
      <c r="F14" s="3"/>
      <c r="G14" s="3"/>
      <c r="H14" s="3"/>
      <c r="I14" s="32">
        <f>0.1*(Horaires3567345[[#This Row],[Heures de nuit]]+Horaires3567345[[#This Row],[heures jour dimanche]]+Horaires3567345[[#This Row],[heures jour fériés]])</f>
        <v>0</v>
      </c>
      <c r="J14" s="33">
        <f>(MOD(Horaires3567345[[#This Row],[Fin]]-Horaires3567345[[#This Row],[début]],1)-MOD(Horaires3567345[[#This Row],[PNP Fin]]-Horaires3567345[[#This Row],[PNP Début]],1))*24</f>
        <v>0</v>
      </c>
      <c r="K14" s="34">
        <f>IF(Horaires3567345[[#This Row],[PNP Début]]=0,0,IF(Horaires3567345[[#This Row],[PNP Début]]&lt;Horaires3567345[[#This Row],[début]],1,0)+Horaires3567345[[#This Row],[PNP Début]])</f>
        <v>0</v>
      </c>
      <c r="L14" s="34">
        <f>IF(Horaires3567345[[#This Row],[PNP Fin]]=0,0,IF(Horaires3567345[[#This Row],[PNP Fin]]&lt;Horaires3567345[[#This Row],[début]],1,0)+Horaires3567345[[#This Row],[PNP Fin]])</f>
        <v>0</v>
      </c>
      <c r="M14" s="34">
        <f>IF(Horaires3567345[[#This Row],[Fin]]&lt;Horaires3567345[[#This Row],[début]],1,0)+Horaires3567345[[#This Row],[Fin]]</f>
        <v>0</v>
      </c>
      <c r="N14" s="35">
        <f>IF(Horaires3567345[[#This Row],[Fin]]&lt;Horaires3567345[[#This Row],[début]],MAX(0,MIN(Horaires3567345[[#This Row],[Fin corrigée si nuit]],fin_nuit)-MAX(Horaires3567345[[#This Row],[début]],deb_nuit))*24,(MAX(deb_nuit,Horaires3567345[[#This Row],[Fin]])-MAX(deb_nuit,Horaires3567345[[#This Row],[début]])+MAX(MIN(fin_nuit-1,Horaires3567345[[#This Row],[Fin]])-MIN(fin_nuit-1,Horaires3567345[[#This Row],[début]]),0))*24)</f>
        <v>0</v>
      </c>
      <c r="O14" s="35">
        <f>(MAX(0,MIN(Horaires3567345[[#This Row],[Fin corrigée si nuit]],fin_nuit)-MAX(Horaires3567345[[#This Row],[début]],deb_nuit))-IF(Horaires3567345[[#This Row],[PNP Début]]=0,0,MIN(Horaires3567345[[#This Row],[PNP Fin corrigée]],fin_nuit)-MAX(Horaires3567345[[#This Row],[PNP Début corrigé]],deb_nuit)))*24</f>
        <v>0</v>
      </c>
      <c r="P14" s="35">
        <f>(IF(WEEKDAY(Horaires3567345[[#This Row],[Date]],2)=7,MAX(0,MIN(fin_dimJF,Horaires3567345[[#This Row],[Fin corrigée si nuit]])-MAX(deb_dimJF,Horaires3567345[[#This Row],[début]])),0)+IF(WEEKDAY(Horaires3567345[[#This Row],[Date]],2)=6,MAX(0,Horaires3567345[[#This Row],[Fin corrigée si nuit]]-(1+deb_dimJF)),0))*24</f>
        <v>0</v>
      </c>
      <c r="Q14" s="35">
        <f>(IF(WEEKDAY(Horaires3567345[[#This Row],[Date]],2)=7,MAX(0,MIN(fin_dimJF,Horaires3567345[[#This Row],[Fin corrigée si nuit]])-MAX(deb_dimJF,Horaires3567345[[#This Row],[début]])),0)+IF(WEEKDAY(Horaires3567345[[#This Row],[Date]],2)=6,MAX(0,Horaires3567345[[#This Row],[Fin corrigée si nuit]]-(1+deb_dimJF)),0))*24-
(IF(WEEKDAY(Horaires3567345[[#This Row],[Date]],2)=7,MAX(0,MIN(fin_dimJF,Horaires3567345[[#This Row],[PNP Fin corrigée]])-MAX(deb_dimJF,Horaires3567345[[#This Row],[PNP Début corrigé]])),0)+IF(WEEKDAY(Horaires3567345[[#This Row],[Date]],2)=6,MAX(0,Horaires3567345[[#This Row],[PNP Fin corrigée]]-(1+deb_dimJF)),0))*24</f>
        <v>0</v>
      </c>
      <c r="R14" s="36">
        <f>(IF(COUNTIF(JF,Horaires3567345[[#This Row],[Date]]),MAX(0,MIN(fin_dimJF,Horaires3567345[[#This Row],[Fin corrigée si nuit]])-MAX(deb_dimJF,Horaires3567345[[#This Row],[début]])),0)+IF(COUNTIF(JF,Horaires3567345[[#This Row],[Date]]+1),MAX(0,Horaires3567345[[#This Row],[Fin corrigée si nuit]]-(1+deb_dimJF)),0))*24</f>
        <v>0</v>
      </c>
      <c r="S14" s="36">
        <f>(IF(COUNTIF(JF,Horaires3567345[[#This Row],[Date]]),MAX(0,MIN(fin_dimJF,Horaires3567345[[#This Row],[Fin corrigée si nuit]])-MAX(deb_dimJF,Horaires3567345[[#This Row],[début]])),0)+IF(COUNTIF(JF,Horaires3567345[[#This Row],[Date]]+1),MAX(0,Horaires3567345[[#This Row],[Fin corrigée si nuit]]-(1+deb_dimJF)),0))*24-
(IF(COUNTIF(JF,Horaires3567345[[#This Row],[Date]]),MAX(0,MIN(fin_dimJF,Horaires3567345[[#This Row],[PNP Fin corrigée]])-MAX(deb_dimJF,Horaires3567345[[#This Row],[PNP Début corrigé]])),0)+IF(COUNTIF(JF,Horaires3567345[[#This Row],[Date]]+1),MAX(0,Horaires3567345[[#This Row],[PNP Fin corrigée]]-(1+deb_dimJF)),0))*24</f>
        <v>0</v>
      </c>
    </row>
    <row r="15" spans="1:19" x14ac:dyDescent="0.35">
      <c r="A15" s="5"/>
      <c r="B15" s="1"/>
      <c r="C15" s="2"/>
      <c r="D15" s="2"/>
      <c r="E15" s="3"/>
      <c r="F15" s="3"/>
      <c r="G15" s="3"/>
      <c r="H15" s="3"/>
      <c r="I15" s="32">
        <f>0.1*(Horaires3567345[[#This Row],[Heures de nuit]]+Horaires3567345[[#This Row],[heures jour dimanche]]+Horaires3567345[[#This Row],[heures jour fériés]])</f>
        <v>0</v>
      </c>
      <c r="J15" s="33">
        <f>(MOD(Horaires3567345[[#This Row],[Fin]]-Horaires3567345[[#This Row],[début]],1)-MOD(Horaires3567345[[#This Row],[PNP Fin]]-Horaires3567345[[#This Row],[PNP Début]],1))*24</f>
        <v>0</v>
      </c>
      <c r="K15" s="34">
        <f>IF(Horaires3567345[[#This Row],[PNP Début]]=0,0,IF(Horaires3567345[[#This Row],[PNP Début]]&lt;Horaires3567345[[#This Row],[début]],1,0)+Horaires3567345[[#This Row],[PNP Début]])</f>
        <v>0</v>
      </c>
      <c r="L15" s="34">
        <f>IF(Horaires3567345[[#This Row],[PNP Fin]]=0,0,IF(Horaires3567345[[#This Row],[PNP Fin]]&lt;Horaires3567345[[#This Row],[début]],1,0)+Horaires3567345[[#This Row],[PNP Fin]])</f>
        <v>0</v>
      </c>
      <c r="M15" s="34">
        <f>IF(Horaires3567345[[#This Row],[Fin]]&lt;Horaires3567345[[#This Row],[début]],1,0)+Horaires3567345[[#This Row],[Fin]]</f>
        <v>0</v>
      </c>
      <c r="N15" s="35">
        <f>IF(Horaires3567345[[#This Row],[Fin]]&lt;Horaires3567345[[#This Row],[début]],MAX(0,MIN(Horaires3567345[[#This Row],[Fin corrigée si nuit]],fin_nuit)-MAX(Horaires3567345[[#This Row],[début]],deb_nuit))*24,(MAX(deb_nuit,Horaires3567345[[#This Row],[Fin]])-MAX(deb_nuit,Horaires3567345[[#This Row],[début]])+MAX(MIN(fin_nuit-1,Horaires3567345[[#This Row],[Fin]])-MIN(fin_nuit-1,Horaires3567345[[#This Row],[début]]),0))*24)</f>
        <v>0</v>
      </c>
      <c r="O15" s="35">
        <f>(MAX(0,MIN(Horaires3567345[[#This Row],[Fin corrigée si nuit]],fin_nuit)-MAX(Horaires3567345[[#This Row],[début]],deb_nuit))-IF(Horaires3567345[[#This Row],[PNP Début]]=0,0,MIN(Horaires3567345[[#This Row],[PNP Fin corrigée]],fin_nuit)-MAX(Horaires3567345[[#This Row],[PNP Début corrigé]],deb_nuit)))*24</f>
        <v>0</v>
      </c>
      <c r="P15" s="35">
        <f>(IF(WEEKDAY(Horaires3567345[[#This Row],[Date]],2)=7,MAX(0,MIN(fin_dimJF,Horaires3567345[[#This Row],[Fin corrigée si nuit]])-MAX(deb_dimJF,Horaires3567345[[#This Row],[début]])),0)+IF(WEEKDAY(Horaires3567345[[#This Row],[Date]],2)=6,MAX(0,Horaires3567345[[#This Row],[Fin corrigée si nuit]]-(1+deb_dimJF)),0))*24</f>
        <v>0</v>
      </c>
      <c r="Q15" s="35">
        <f>(IF(WEEKDAY(Horaires3567345[[#This Row],[Date]],2)=7,MAX(0,MIN(fin_dimJF,Horaires3567345[[#This Row],[Fin corrigée si nuit]])-MAX(deb_dimJF,Horaires3567345[[#This Row],[début]])),0)+IF(WEEKDAY(Horaires3567345[[#This Row],[Date]],2)=6,MAX(0,Horaires3567345[[#This Row],[Fin corrigée si nuit]]-(1+deb_dimJF)),0))*24-
(IF(WEEKDAY(Horaires3567345[[#This Row],[Date]],2)=7,MAX(0,MIN(fin_dimJF,Horaires3567345[[#This Row],[PNP Fin corrigée]])-MAX(deb_dimJF,Horaires3567345[[#This Row],[PNP Début corrigé]])),0)+IF(WEEKDAY(Horaires3567345[[#This Row],[Date]],2)=6,MAX(0,Horaires3567345[[#This Row],[PNP Fin corrigée]]-(1+deb_dimJF)),0))*24</f>
        <v>0</v>
      </c>
      <c r="R15" s="36">
        <f>(IF(COUNTIF(JF,Horaires3567345[[#This Row],[Date]]),MAX(0,MIN(fin_dimJF,Horaires3567345[[#This Row],[Fin corrigée si nuit]])-MAX(deb_dimJF,Horaires3567345[[#This Row],[début]])),0)+IF(COUNTIF(JF,Horaires3567345[[#This Row],[Date]]+1),MAX(0,Horaires3567345[[#This Row],[Fin corrigée si nuit]]-(1+deb_dimJF)),0))*24</f>
        <v>0</v>
      </c>
      <c r="S15" s="36">
        <f>(IF(COUNTIF(JF,Horaires3567345[[#This Row],[Date]]),MAX(0,MIN(fin_dimJF,Horaires3567345[[#This Row],[Fin corrigée si nuit]])-MAX(deb_dimJF,Horaires3567345[[#This Row],[début]])),0)+IF(COUNTIF(JF,Horaires3567345[[#This Row],[Date]]+1),MAX(0,Horaires3567345[[#This Row],[Fin corrigée si nuit]]-(1+deb_dimJF)),0))*24-
(IF(COUNTIF(JF,Horaires3567345[[#This Row],[Date]]),MAX(0,MIN(fin_dimJF,Horaires3567345[[#This Row],[PNP Fin corrigée]])-MAX(deb_dimJF,Horaires3567345[[#This Row],[PNP Début corrigé]])),0)+IF(COUNTIF(JF,Horaires3567345[[#This Row],[Date]]+1),MAX(0,Horaires3567345[[#This Row],[PNP Fin corrigée]]-(1+deb_dimJF)),0))*24</f>
        <v>0</v>
      </c>
    </row>
    <row r="16" spans="1:19" x14ac:dyDescent="0.35">
      <c r="A16" s="5"/>
      <c r="B16" s="6"/>
      <c r="C16" s="2"/>
      <c r="D16" s="2"/>
      <c r="E16" s="3"/>
      <c r="F16" s="3"/>
      <c r="G16" s="7"/>
      <c r="H16" s="7"/>
      <c r="I16" s="32">
        <f>0.1*(Horaires3567345[[#This Row],[Heures de nuit]]+Horaires3567345[[#This Row],[heures jour dimanche]]+Horaires3567345[[#This Row],[heures jour fériés]])</f>
        <v>0</v>
      </c>
      <c r="J16" s="37">
        <f>(MOD(Horaires3567345[[#This Row],[Fin]]-Horaires3567345[[#This Row],[début]],1)-MOD(Horaires3567345[[#This Row],[PNP Fin]]-Horaires3567345[[#This Row],[PNP Début]],1))*24</f>
        <v>0</v>
      </c>
      <c r="K16" s="34">
        <f>IF(Horaires3567345[[#This Row],[PNP Début]]=0,0,IF(Horaires3567345[[#This Row],[PNP Début]]&lt;Horaires3567345[[#This Row],[début]],1,0)+Horaires3567345[[#This Row],[PNP Début]])</f>
        <v>0</v>
      </c>
      <c r="L16" s="34">
        <f>IF(Horaires3567345[[#This Row],[PNP Fin]]=0,0,IF(Horaires3567345[[#This Row],[PNP Fin]]&lt;Horaires3567345[[#This Row],[début]],1,0)+Horaires3567345[[#This Row],[PNP Fin]])</f>
        <v>0</v>
      </c>
      <c r="M16" s="38">
        <f>IF(Horaires3567345[[#This Row],[Fin]]&lt;Horaires3567345[[#This Row],[début]],1,0)+Horaires3567345[[#This Row],[Fin]]</f>
        <v>0</v>
      </c>
      <c r="N16" s="35">
        <f>IF(Horaires3567345[[#This Row],[Fin]]&lt;Horaires3567345[[#This Row],[début]],MAX(0,MIN(Horaires3567345[[#This Row],[Fin corrigée si nuit]],fin_nuit)-MAX(Horaires3567345[[#This Row],[début]],deb_nuit))*24,(MAX(deb_nuit,Horaires3567345[[#This Row],[Fin]])-MAX(deb_nuit,Horaires3567345[[#This Row],[début]])+MAX(MIN(fin_nuit-1,Horaires3567345[[#This Row],[Fin]])-MIN(fin_nuit-1,Horaires3567345[[#This Row],[début]]),0))*24)</f>
        <v>0</v>
      </c>
      <c r="O16" s="39">
        <f>(MAX(0,MIN(Horaires3567345[[#This Row],[Fin corrigée si nuit]],fin_nuit)-MAX(Horaires3567345[[#This Row],[début]],deb_nuit))-IF(Horaires3567345[[#This Row],[PNP Début]]=0,0,MIN(Horaires3567345[[#This Row],[PNP Fin corrigée]],fin_nuit)-MAX(Horaires3567345[[#This Row],[PNP Début corrigé]],deb_nuit)))*24</f>
        <v>0</v>
      </c>
      <c r="P16" s="39">
        <f>(IF(WEEKDAY(Horaires3567345[[#This Row],[Date]],2)=7,MAX(0,MIN(fin_dimJF,Horaires3567345[[#This Row],[Fin corrigée si nuit]])-MAX(deb_dimJF,Horaires3567345[[#This Row],[début]])),0)+IF(WEEKDAY(Horaires3567345[[#This Row],[Date]],2)=6,MAX(0,Horaires3567345[[#This Row],[Fin corrigée si nuit]]-(1+deb_dimJF)),0))*24</f>
        <v>0</v>
      </c>
      <c r="Q16" s="35">
        <f>(IF(WEEKDAY(Horaires3567345[[#This Row],[Date]],2)=7,MAX(0,MIN(fin_dimJF,Horaires3567345[[#This Row],[Fin corrigée si nuit]])-MAX(deb_dimJF,Horaires3567345[[#This Row],[début]])),0)+IF(WEEKDAY(Horaires3567345[[#This Row],[Date]],2)=6,MAX(0,Horaires3567345[[#This Row],[Fin corrigée si nuit]]-(1+deb_dimJF)),0))*24-
(IF(WEEKDAY(Horaires3567345[[#This Row],[Date]],2)=7,MAX(0,MIN(fin_dimJF,Horaires3567345[[#This Row],[PNP Fin corrigée]])-MAX(deb_dimJF,Horaires3567345[[#This Row],[PNP Début corrigé]])),0)+IF(WEEKDAY(Horaires3567345[[#This Row],[Date]],2)=6,MAX(0,Horaires3567345[[#This Row],[PNP Fin corrigée]]-(1+deb_dimJF)),0))*24</f>
        <v>0</v>
      </c>
      <c r="R16" s="40">
        <f>(IF(COUNTIF(JF,Horaires3567345[[#This Row],[Date]]),MAX(0,MIN(fin_dimJF,Horaires3567345[[#This Row],[Fin corrigée si nuit]])-MAX(deb_dimJF,Horaires3567345[[#This Row],[début]])),0)+IF(COUNTIF(JF,Horaires3567345[[#This Row],[Date]]+1),MAX(0,Horaires3567345[[#This Row],[Fin corrigée si nuit]]-(1+deb_dimJF)),0))*24</f>
        <v>0</v>
      </c>
      <c r="S16" s="40">
        <f>(IF(COUNTIF(JF,Horaires3567345[[#This Row],[Date]]),MAX(0,MIN(fin_dimJF,Horaires3567345[[#This Row],[Fin corrigée si nuit]])-MAX(deb_dimJF,Horaires3567345[[#This Row],[début]])),0)+IF(COUNTIF(JF,Horaires3567345[[#This Row],[Date]]+1),MAX(0,Horaires3567345[[#This Row],[Fin corrigée si nuit]]-(1+deb_dimJF)),0))*24-
(IF(COUNTIF(JF,Horaires3567345[[#This Row],[Date]]),MAX(0,MIN(fin_dimJF,Horaires3567345[[#This Row],[PNP Fin corrigée]])-MAX(deb_dimJF,Horaires3567345[[#This Row],[PNP Début corrigé]])),0)+IF(COUNTIF(JF,Horaires3567345[[#This Row],[Date]]+1),MAX(0,Horaires3567345[[#This Row],[PNP Fin corrigée]]-(1+deb_dimJF)),0))*24</f>
        <v>0</v>
      </c>
    </row>
    <row r="17" spans="1:19" x14ac:dyDescent="0.35">
      <c r="A17" s="5"/>
      <c r="B17" s="1"/>
      <c r="C17" s="2"/>
      <c r="D17" s="2"/>
      <c r="E17" s="3"/>
      <c r="F17" s="3"/>
      <c r="G17" s="12"/>
      <c r="H17" s="12"/>
      <c r="I17" s="41">
        <f>0.1*(Horaires3567345[[#This Row],[Heures de nuit]]+Horaires3567345[[#This Row],[heures jour dimanche]]+Horaires3567345[[#This Row],[heures jour fériés]])</f>
        <v>0</v>
      </c>
      <c r="J17" s="42">
        <f>(MOD(Horaires3567345[[#This Row],[Fin]]-Horaires3567345[[#This Row],[début]],1)-MOD(Horaires3567345[[#This Row],[PNP Fin]]-Horaires3567345[[#This Row],[PNP Début]],1))*24</f>
        <v>0</v>
      </c>
      <c r="K17" s="43">
        <f>IF(Horaires3567345[[#This Row],[PNP Début]]=0,0,IF(Horaires3567345[[#This Row],[PNP Début]]&lt;Horaires3567345[[#This Row],[début]],1,0)+Horaires3567345[[#This Row],[PNP Début]])</f>
        <v>0</v>
      </c>
      <c r="L17" s="44">
        <f>IF(Horaires3567345[[#This Row],[PNP Fin]]=0,0,IF(Horaires3567345[[#This Row],[PNP Fin]]&lt;Horaires3567345[[#This Row],[début]],1,0)+Horaires3567345[[#This Row],[PNP Fin]])</f>
        <v>0</v>
      </c>
      <c r="M17" s="44">
        <f>IF(Horaires3567345[[#This Row],[Fin]]&lt;Horaires3567345[[#This Row],[début]],1,0)+Horaires3567345[[#This Row],[Fin]]</f>
        <v>0</v>
      </c>
      <c r="N17" s="35">
        <f>IF(Horaires3567345[[#This Row],[Fin]]&lt;Horaires3567345[[#This Row],[début]],MAX(0,MIN(Horaires3567345[[#This Row],[Fin corrigée si nuit]],fin_nuit)-MAX(Horaires3567345[[#This Row],[début]],deb_nuit))*24,(MAX(deb_nuit,Horaires3567345[[#This Row],[Fin]])-MAX(deb_nuit,Horaires3567345[[#This Row],[début]])+MAX(MIN(fin_nuit-1,Horaires3567345[[#This Row],[Fin]])-MIN(fin_nuit-1,Horaires3567345[[#This Row],[début]]),0))*24)</f>
        <v>0</v>
      </c>
      <c r="O17" s="45">
        <f>(MAX(0,MIN(Horaires3567345[[#This Row],[Fin corrigée si nuit]],fin_nuit)-MAX(Horaires3567345[[#This Row],[début]],deb_nuit))-IF(Horaires3567345[[#This Row],[PNP Début]]=0,0,MIN(Horaires3567345[[#This Row],[PNP Fin corrigée]],fin_nuit)-MAX(Horaires3567345[[#This Row],[PNP Début corrigé]],deb_nuit)))*24</f>
        <v>0</v>
      </c>
      <c r="P17" s="45">
        <f>(IF(WEEKDAY(Horaires3567345[[#This Row],[Date]],2)=7,MAX(0,MIN(fin_dimJF,Horaires3567345[[#This Row],[Fin corrigée si nuit]])-MAX(deb_dimJF,Horaires3567345[[#This Row],[début]])),0)+IF(WEEKDAY(Horaires3567345[[#This Row],[Date]],2)=6,MAX(0,Horaires3567345[[#This Row],[Fin corrigée si nuit]]-(1+deb_dimJF)),0))*24</f>
        <v>0</v>
      </c>
      <c r="Q17" s="45">
        <f>(IF(WEEKDAY(Horaires3567345[[#This Row],[Date]],2)=7,MAX(0,MIN(fin_dimJF,Horaires3567345[[#This Row],[Fin corrigée si nuit]])-MAX(deb_dimJF,Horaires3567345[[#This Row],[début]])),0)+IF(WEEKDAY(Horaires3567345[[#This Row],[Date]],2)=6,MAX(0,Horaires3567345[[#This Row],[Fin corrigée si nuit]]-(1+deb_dimJF)),0))*24-
(IF(WEEKDAY(Horaires3567345[[#This Row],[Date]],2)=7,MAX(0,MIN(fin_dimJF,Horaires3567345[[#This Row],[PNP Fin corrigée]])-MAX(deb_dimJF,Horaires3567345[[#This Row],[PNP Début corrigé]])),0)+IF(WEEKDAY(Horaires3567345[[#This Row],[Date]],2)=6,MAX(0,Horaires3567345[[#This Row],[PNP Fin corrigée]]-(1+deb_dimJF)),0))*24</f>
        <v>0</v>
      </c>
      <c r="R17" s="45">
        <f>(IF(COUNTIF(JF,Horaires3567345[[#This Row],[Date]]),MAX(0,MIN(fin_dimJF,Horaires3567345[[#This Row],[Fin corrigée si nuit]])-MAX(deb_dimJF,Horaires3567345[[#This Row],[début]])),0)+IF(COUNTIF(JF,Horaires3567345[[#This Row],[Date]]+1),MAX(0,Horaires3567345[[#This Row],[Fin corrigée si nuit]]-(1+deb_dimJF)),0))*24</f>
        <v>0</v>
      </c>
      <c r="S17" s="45">
        <f>(IF(COUNTIF(JF,Horaires3567345[[#This Row],[Date]]),MAX(0,MIN(fin_dimJF,Horaires3567345[[#This Row],[Fin corrigée si nuit]])-MAX(deb_dimJF,Horaires3567345[[#This Row],[début]])),0)+IF(COUNTIF(JF,Horaires3567345[[#This Row],[Date]]+1),MAX(0,Horaires3567345[[#This Row],[Fin corrigée si nuit]]-(1+deb_dimJF)),0))*24-
(IF(COUNTIF(JF,Horaires3567345[[#This Row],[Date]]),MAX(0,MIN(fin_dimJF,Horaires3567345[[#This Row],[PNP Fin corrigée]])-MAX(deb_dimJF,Horaires3567345[[#This Row],[PNP Début corrigé]])),0)+IF(COUNTIF(JF,Horaires3567345[[#This Row],[Date]]+1),MAX(0,Horaires3567345[[#This Row],[PNP Fin corrigée]]-(1+deb_dimJF)),0))*24</f>
        <v>0</v>
      </c>
    </row>
    <row r="18" spans="1:19" x14ac:dyDescent="0.35">
      <c r="A18" s="5"/>
      <c r="B18" s="60"/>
      <c r="C18" s="11"/>
      <c r="D18" s="11"/>
      <c r="E18" s="12"/>
      <c r="F18" s="12"/>
      <c r="G18" s="12"/>
      <c r="H18" s="12"/>
      <c r="I18" s="41">
        <f>0.1*(Horaires3567345[[#This Row],[Heures de nuit]]+Horaires3567345[[#This Row],[heures jour dimanche]]+Horaires3567345[[#This Row],[heures jour fériés]])</f>
        <v>0</v>
      </c>
      <c r="J18" s="42">
        <f>(MOD(Horaires3567345[[#This Row],[Fin]]-Horaires3567345[[#This Row],[début]],1)-MOD(Horaires3567345[[#This Row],[PNP Fin]]-Horaires3567345[[#This Row],[PNP Début]],1))*24</f>
        <v>0</v>
      </c>
      <c r="K18" s="43">
        <f>IF(Horaires3567345[[#This Row],[PNP Début]]=0,0,IF(Horaires3567345[[#This Row],[PNP Début]]&lt;Horaires3567345[[#This Row],[début]],1,0)+Horaires3567345[[#This Row],[PNP Début]])</f>
        <v>0</v>
      </c>
      <c r="L18" s="44">
        <f>IF(Horaires3567345[[#This Row],[PNP Fin]]=0,0,IF(Horaires3567345[[#This Row],[PNP Fin]]&lt;Horaires3567345[[#This Row],[début]],1,0)+Horaires3567345[[#This Row],[PNP Fin]])</f>
        <v>0</v>
      </c>
      <c r="M18" s="44">
        <f>IF(Horaires3567345[[#This Row],[Fin]]&lt;Horaires3567345[[#This Row],[début]],1,0)+Horaires3567345[[#This Row],[Fin]]</f>
        <v>0</v>
      </c>
      <c r="N18" s="35">
        <f>IF(Horaires3567345[[#This Row],[Fin]]&lt;Horaires3567345[[#This Row],[début]],MAX(0,MIN(Horaires3567345[[#This Row],[Fin corrigée si nuit]],fin_nuit)-MAX(Horaires3567345[[#This Row],[début]],deb_nuit))*24,(MAX(deb_nuit,Horaires3567345[[#This Row],[Fin]])-MAX(deb_nuit,Horaires3567345[[#This Row],[début]])+MAX(MIN(fin_nuit-1,Horaires3567345[[#This Row],[Fin]])-MIN(fin_nuit-1,Horaires3567345[[#This Row],[début]]),0))*24)</f>
        <v>0</v>
      </c>
      <c r="O18" s="45">
        <f>(MAX(0,MIN(Horaires3567345[[#This Row],[Fin corrigée si nuit]],fin_nuit)-MAX(Horaires3567345[[#This Row],[début]],deb_nuit))-IF(Horaires3567345[[#This Row],[PNP Début]]=0,0,MIN(Horaires3567345[[#This Row],[PNP Fin corrigée]],fin_nuit)-MAX(Horaires3567345[[#This Row],[PNP Début corrigé]],deb_nuit)))*24</f>
        <v>0</v>
      </c>
      <c r="P18" s="45">
        <f>(IF(WEEKDAY(Horaires3567345[[#This Row],[Date]],2)=7,MAX(0,MIN(fin_dimJF,Horaires3567345[[#This Row],[Fin corrigée si nuit]])-MAX(deb_dimJF,Horaires3567345[[#This Row],[début]])),0)+IF(WEEKDAY(Horaires3567345[[#This Row],[Date]],2)=6,MAX(0,Horaires3567345[[#This Row],[Fin corrigée si nuit]]-(1+deb_dimJF)),0))*24</f>
        <v>0</v>
      </c>
      <c r="Q18" s="45">
        <f>(IF(WEEKDAY(Horaires3567345[[#This Row],[Date]],2)=7,MAX(0,MIN(fin_dimJF,Horaires3567345[[#This Row],[Fin corrigée si nuit]])-MAX(deb_dimJF,Horaires3567345[[#This Row],[début]])),0)+IF(WEEKDAY(Horaires3567345[[#This Row],[Date]],2)=6,MAX(0,Horaires3567345[[#This Row],[Fin corrigée si nuit]]-(1+deb_dimJF)),0))*24-
(IF(WEEKDAY(Horaires3567345[[#This Row],[Date]],2)=7,MAX(0,MIN(fin_dimJF,Horaires3567345[[#This Row],[PNP Fin corrigée]])-MAX(deb_dimJF,Horaires3567345[[#This Row],[PNP Début corrigé]])),0)+IF(WEEKDAY(Horaires3567345[[#This Row],[Date]],2)=6,MAX(0,Horaires3567345[[#This Row],[PNP Fin corrigée]]-(1+deb_dimJF)),0))*24</f>
        <v>0</v>
      </c>
      <c r="R18" s="45">
        <f>(IF(COUNTIF(JF,Horaires3567345[[#This Row],[Date]]),MAX(0,MIN(fin_dimJF,Horaires3567345[[#This Row],[Fin corrigée si nuit]])-MAX(deb_dimJF,Horaires3567345[[#This Row],[début]])),0)+IF(COUNTIF(JF,Horaires3567345[[#This Row],[Date]]+1),MAX(0,Horaires3567345[[#This Row],[Fin corrigée si nuit]]-(1+deb_dimJF)),0))*24</f>
        <v>0</v>
      </c>
      <c r="S18" s="45">
        <f>(IF(COUNTIF(JF,Horaires3567345[[#This Row],[Date]]),MAX(0,MIN(fin_dimJF,Horaires3567345[[#This Row],[Fin corrigée si nuit]])-MAX(deb_dimJF,Horaires3567345[[#This Row],[début]])),0)+IF(COUNTIF(JF,Horaires3567345[[#This Row],[Date]]+1),MAX(0,Horaires3567345[[#This Row],[Fin corrigée si nuit]]-(1+deb_dimJF)),0))*24-
(IF(COUNTIF(JF,Horaires3567345[[#This Row],[Date]]),MAX(0,MIN(fin_dimJF,Horaires3567345[[#This Row],[PNP Fin corrigée]])-MAX(deb_dimJF,Horaires3567345[[#This Row],[PNP Début corrigé]])),0)+IF(COUNTIF(JF,Horaires3567345[[#This Row],[Date]]+1),MAX(0,Horaires3567345[[#This Row],[PNP Fin corrigée]]-(1+deb_dimJF)),0))*24</f>
        <v>0</v>
      </c>
    </row>
    <row r="19" spans="1:19" x14ac:dyDescent="0.35">
      <c r="A19" s="5"/>
      <c r="B19" s="1"/>
      <c r="C19" s="11"/>
      <c r="D19" s="11"/>
      <c r="E19" s="3"/>
      <c r="F19" s="3"/>
      <c r="G19" s="12"/>
      <c r="H19" s="12"/>
      <c r="I19" s="41">
        <f>0.1*(Horaires3567345[[#This Row],[Heures de nuit]]+Horaires3567345[[#This Row],[heures jour dimanche]]+Horaires3567345[[#This Row],[heures jour fériés]])</f>
        <v>0</v>
      </c>
      <c r="J19" s="42">
        <f>(MOD(Horaires3567345[[#This Row],[Fin]]-Horaires3567345[[#This Row],[début]],1)-MOD(Horaires3567345[[#This Row],[PNP Fin]]-Horaires3567345[[#This Row],[PNP Début]],1))*24</f>
        <v>0</v>
      </c>
      <c r="K19" s="43">
        <f>IF(Horaires3567345[[#This Row],[PNP Début]]=0,0,IF(Horaires3567345[[#This Row],[PNP Début]]&lt;Horaires3567345[[#This Row],[début]],1,0)+Horaires3567345[[#This Row],[PNP Début]])</f>
        <v>0</v>
      </c>
      <c r="L19" s="44">
        <f>IF(Horaires3567345[[#This Row],[PNP Fin]]=0,0,IF(Horaires3567345[[#This Row],[PNP Fin]]&lt;Horaires3567345[[#This Row],[début]],1,0)+Horaires3567345[[#This Row],[PNP Fin]])</f>
        <v>0</v>
      </c>
      <c r="M19" s="44">
        <f>IF(Horaires3567345[[#This Row],[Fin]]&lt;Horaires3567345[[#This Row],[début]],1,0)+Horaires3567345[[#This Row],[Fin]]</f>
        <v>0</v>
      </c>
      <c r="N19" s="35">
        <f>IF(Horaires3567345[[#This Row],[Fin]]&lt;Horaires3567345[[#This Row],[début]],MAX(0,MIN(Horaires3567345[[#This Row],[Fin corrigée si nuit]],fin_nuit)-MAX(Horaires3567345[[#This Row],[début]],deb_nuit))*24,(MAX(deb_nuit,Horaires3567345[[#This Row],[Fin]])-MAX(deb_nuit,Horaires3567345[[#This Row],[début]])+MAX(MIN(fin_nuit-1,Horaires3567345[[#This Row],[Fin]])-MIN(fin_nuit-1,Horaires3567345[[#This Row],[début]]),0))*24)</f>
        <v>0</v>
      </c>
      <c r="O19" s="45">
        <f>(MAX(0,MIN(Horaires3567345[[#This Row],[Fin corrigée si nuit]],fin_nuit)-MAX(Horaires3567345[[#This Row],[début]],deb_nuit))-IF(Horaires3567345[[#This Row],[PNP Début]]=0,0,MIN(Horaires3567345[[#This Row],[PNP Fin corrigée]],fin_nuit)-MAX(Horaires3567345[[#This Row],[PNP Début corrigé]],deb_nuit)))*24</f>
        <v>0</v>
      </c>
      <c r="P19" s="45">
        <f>(IF(WEEKDAY(Horaires3567345[[#This Row],[Date]],2)=7,MAX(0,MIN(fin_dimJF,Horaires3567345[[#This Row],[Fin corrigée si nuit]])-MAX(deb_dimJF,Horaires3567345[[#This Row],[début]])),0)+IF(WEEKDAY(Horaires3567345[[#This Row],[Date]],2)=6,MAX(0,Horaires3567345[[#This Row],[Fin corrigée si nuit]]-(1+deb_dimJF)),0))*24</f>
        <v>0</v>
      </c>
      <c r="Q19" s="45">
        <f>(IF(WEEKDAY(Horaires3567345[[#This Row],[Date]],2)=7,MAX(0,MIN(fin_dimJF,Horaires3567345[[#This Row],[Fin corrigée si nuit]])-MAX(deb_dimJF,Horaires3567345[[#This Row],[début]])),0)+IF(WEEKDAY(Horaires3567345[[#This Row],[Date]],2)=6,MAX(0,Horaires3567345[[#This Row],[Fin corrigée si nuit]]-(1+deb_dimJF)),0))*24-
(IF(WEEKDAY(Horaires3567345[[#This Row],[Date]],2)=7,MAX(0,MIN(fin_dimJF,Horaires3567345[[#This Row],[PNP Fin corrigée]])-MAX(deb_dimJF,Horaires3567345[[#This Row],[PNP Début corrigé]])),0)+IF(WEEKDAY(Horaires3567345[[#This Row],[Date]],2)=6,MAX(0,Horaires3567345[[#This Row],[PNP Fin corrigée]]-(1+deb_dimJF)),0))*24</f>
        <v>0</v>
      </c>
      <c r="R19" s="45">
        <f>(IF(COUNTIF(JF,Horaires3567345[[#This Row],[Date]]),MAX(0,MIN(fin_dimJF,Horaires3567345[[#This Row],[Fin corrigée si nuit]])-MAX(deb_dimJF,Horaires3567345[[#This Row],[début]])),0)+IF(COUNTIF(JF,Horaires3567345[[#This Row],[Date]]+1),MAX(0,Horaires3567345[[#This Row],[Fin corrigée si nuit]]-(1+deb_dimJF)),0))*24</f>
        <v>0</v>
      </c>
      <c r="S19" s="45">
        <f>(IF(COUNTIF(JF,Horaires3567345[[#This Row],[Date]]),MAX(0,MIN(fin_dimJF,Horaires3567345[[#This Row],[Fin corrigée si nuit]])-MAX(deb_dimJF,Horaires3567345[[#This Row],[début]])),0)+IF(COUNTIF(JF,Horaires3567345[[#This Row],[Date]]+1),MAX(0,Horaires3567345[[#This Row],[Fin corrigée si nuit]]-(1+deb_dimJF)),0))*24-
(IF(COUNTIF(JF,Horaires3567345[[#This Row],[Date]]),MAX(0,MIN(fin_dimJF,Horaires3567345[[#This Row],[PNP Fin corrigée]])-MAX(deb_dimJF,Horaires3567345[[#This Row],[PNP Début corrigé]])),0)+IF(COUNTIF(JF,Horaires3567345[[#This Row],[Date]]+1),MAX(0,Horaires3567345[[#This Row],[PNP Fin corrigée]]-(1+deb_dimJF)),0))*24</f>
        <v>0</v>
      </c>
    </row>
    <row r="20" spans="1:19" x14ac:dyDescent="0.35">
      <c r="A20" s="5"/>
      <c r="B20" s="1"/>
      <c r="C20" s="11"/>
      <c r="D20" s="11"/>
      <c r="E20" s="12"/>
      <c r="F20" s="12"/>
      <c r="G20" s="12"/>
      <c r="H20" s="12"/>
      <c r="I20" s="41">
        <f>0.1*(Horaires3567345[[#This Row],[Heures de nuit]]+Horaires3567345[[#This Row],[heures jour dimanche]]+Horaires3567345[[#This Row],[heures jour fériés]])</f>
        <v>0</v>
      </c>
      <c r="J20" s="42">
        <f>(MOD(Horaires3567345[[#This Row],[Fin]]-Horaires3567345[[#This Row],[début]],1)-MOD(Horaires3567345[[#This Row],[PNP Fin]]-Horaires3567345[[#This Row],[PNP Début]],1))*24</f>
        <v>0</v>
      </c>
      <c r="K20" s="43">
        <f>IF(Horaires3567345[[#This Row],[PNP Début]]=0,0,IF(Horaires3567345[[#This Row],[PNP Début]]&lt;Horaires3567345[[#This Row],[début]],1,0)+Horaires3567345[[#This Row],[PNP Début]])</f>
        <v>0</v>
      </c>
      <c r="L20" s="44">
        <f>IF(Horaires3567345[[#This Row],[PNP Fin]]=0,0,IF(Horaires3567345[[#This Row],[PNP Fin]]&lt;Horaires3567345[[#This Row],[début]],1,0)+Horaires3567345[[#This Row],[PNP Fin]])</f>
        <v>0</v>
      </c>
      <c r="M20" s="44">
        <f>IF(Horaires3567345[[#This Row],[Fin]]&lt;Horaires3567345[[#This Row],[début]],1,0)+Horaires3567345[[#This Row],[Fin]]</f>
        <v>0</v>
      </c>
      <c r="N20" s="35">
        <f>IF(Horaires3567345[[#This Row],[Fin]]&lt;Horaires3567345[[#This Row],[début]],MAX(0,MIN(Horaires3567345[[#This Row],[Fin corrigée si nuit]],fin_nuit)-MAX(Horaires3567345[[#This Row],[début]],deb_nuit))*24,(MAX(deb_nuit,Horaires3567345[[#This Row],[Fin]])-MAX(deb_nuit,Horaires3567345[[#This Row],[début]])+MAX(MIN(fin_nuit-1,Horaires3567345[[#This Row],[Fin]])-MIN(fin_nuit-1,Horaires3567345[[#This Row],[début]]),0))*24)</f>
        <v>0</v>
      </c>
      <c r="O20" s="45">
        <f>(MAX(0,MIN(Horaires3567345[[#This Row],[Fin corrigée si nuit]],fin_nuit)-MAX(Horaires3567345[[#This Row],[début]],deb_nuit))-IF(Horaires3567345[[#This Row],[PNP Début]]=0,0,MIN(Horaires3567345[[#This Row],[PNP Fin corrigée]],fin_nuit)-MAX(Horaires3567345[[#This Row],[PNP Début corrigé]],deb_nuit)))*24</f>
        <v>0</v>
      </c>
      <c r="P20" s="45">
        <f>(IF(WEEKDAY(Horaires3567345[[#This Row],[Date]],2)=7,MAX(0,MIN(fin_dimJF,Horaires3567345[[#This Row],[Fin corrigée si nuit]])-MAX(deb_dimJF,Horaires3567345[[#This Row],[début]])),0)+IF(WEEKDAY(Horaires3567345[[#This Row],[Date]],2)=6,MAX(0,Horaires3567345[[#This Row],[Fin corrigée si nuit]]-(1+deb_dimJF)),0))*24</f>
        <v>0</v>
      </c>
      <c r="Q20" s="45">
        <f>(IF(WEEKDAY(Horaires3567345[[#This Row],[Date]],2)=7,MAX(0,MIN(fin_dimJF,Horaires3567345[[#This Row],[Fin corrigée si nuit]])-MAX(deb_dimJF,Horaires3567345[[#This Row],[début]])),0)+IF(WEEKDAY(Horaires3567345[[#This Row],[Date]],2)=6,MAX(0,Horaires3567345[[#This Row],[Fin corrigée si nuit]]-(1+deb_dimJF)),0))*24-
(IF(WEEKDAY(Horaires3567345[[#This Row],[Date]],2)=7,MAX(0,MIN(fin_dimJF,Horaires3567345[[#This Row],[PNP Fin corrigée]])-MAX(deb_dimJF,Horaires3567345[[#This Row],[PNP Début corrigé]])),0)+IF(WEEKDAY(Horaires3567345[[#This Row],[Date]],2)=6,MAX(0,Horaires3567345[[#This Row],[PNP Fin corrigée]]-(1+deb_dimJF)),0))*24</f>
        <v>0</v>
      </c>
      <c r="R20" s="45">
        <f>(IF(COUNTIF(JF,Horaires3567345[[#This Row],[Date]]),MAX(0,MIN(fin_dimJF,Horaires3567345[[#This Row],[Fin corrigée si nuit]])-MAX(deb_dimJF,Horaires3567345[[#This Row],[début]])),0)+IF(COUNTIF(JF,Horaires3567345[[#This Row],[Date]]+1),MAX(0,Horaires3567345[[#This Row],[Fin corrigée si nuit]]-(1+deb_dimJF)),0))*24</f>
        <v>0</v>
      </c>
      <c r="S20" s="45">
        <f>(IF(COUNTIF(JF,Horaires3567345[[#This Row],[Date]]),MAX(0,MIN(fin_dimJF,Horaires3567345[[#This Row],[Fin corrigée si nuit]])-MAX(deb_dimJF,Horaires3567345[[#This Row],[début]])),0)+IF(COUNTIF(JF,Horaires3567345[[#This Row],[Date]]+1),MAX(0,Horaires3567345[[#This Row],[Fin corrigée si nuit]]-(1+deb_dimJF)),0))*24-
(IF(COUNTIF(JF,Horaires3567345[[#This Row],[Date]]),MAX(0,MIN(fin_dimJF,Horaires3567345[[#This Row],[PNP Fin corrigée]])-MAX(deb_dimJF,Horaires3567345[[#This Row],[PNP Début corrigé]])),0)+IF(COUNTIF(JF,Horaires3567345[[#This Row],[Date]]+1),MAX(0,Horaires3567345[[#This Row],[PNP Fin corrigée]]-(1+deb_dimJF)),0))*24</f>
        <v>0</v>
      </c>
    </row>
    <row r="21" spans="1:19" x14ac:dyDescent="0.35">
      <c r="A21" s="5"/>
      <c r="B21" s="6"/>
      <c r="C21" s="13"/>
      <c r="D21" s="13"/>
      <c r="E21" s="3"/>
      <c r="F21" s="3"/>
      <c r="G21" s="14"/>
      <c r="H21" s="14"/>
      <c r="I21" s="46">
        <f>0.1*(Horaires3567345[[#This Row],[Heures de nuit]]+Horaires3567345[[#This Row],[heures jour dimanche]]+Horaires3567345[[#This Row],[heures jour fériés]])</f>
        <v>0</v>
      </c>
      <c r="J21" s="47">
        <f>(MOD(Horaires3567345[[#This Row],[Fin]]-Horaires3567345[[#This Row],[début]],1)-MOD(Horaires3567345[[#This Row],[PNP Fin]]-Horaires3567345[[#This Row],[PNP Début]],1))*24</f>
        <v>0</v>
      </c>
      <c r="K21" s="48">
        <f>IF(Horaires3567345[[#This Row],[PNP Début]]=0,0,IF(Horaires3567345[[#This Row],[PNP Début]]&lt;Horaires3567345[[#This Row],[début]],1,0)+Horaires3567345[[#This Row],[PNP Début]])</f>
        <v>0</v>
      </c>
      <c r="L21" s="49">
        <f>IF(Horaires3567345[[#This Row],[PNP Fin]]=0,0,IF(Horaires3567345[[#This Row],[PNP Fin]]&lt;Horaires3567345[[#This Row],[début]],1,0)+Horaires3567345[[#This Row],[PNP Fin]])</f>
        <v>0</v>
      </c>
      <c r="M21" s="49">
        <f>IF(Horaires3567345[[#This Row],[Fin]]&lt;Horaires3567345[[#This Row],[début]],1,0)+Horaires3567345[[#This Row],[Fin]]</f>
        <v>0</v>
      </c>
      <c r="N21" s="35">
        <f>IF(Horaires3567345[[#This Row],[Fin]]&lt;Horaires3567345[[#This Row],[début]],MAX(0,MIN(Horaires3567345[[#This Row],[Fin corrigée si nuit]],fin_nuit)-MAX(Horaires3567345[[#This Row],[début]],deb_nuit))*24,(MAX(deb_nuit,Horaires3567345[[#This Row],[Fin]])-MAX(deb_nuit,Horaires3567345[[#This Row],[début]])+MAX(MIN(fin_nuit-1,Horaires3567345[[#This Row],[Fin]])-MIN(fin_nuit-1,Horaires3567345[[#This Row],[début]]),0))*24)</f>
        <v>0</v>
      </c>
      <c r="O21" s="50">
        <f>(MAX(0,MIN(Horaires3567345[[#This Row],[Fin corrigée si nuit]],fin_nuit)-MAX(Horaires3567345[[#This Row],[début]],deb_nuit))-IF(Horaires3567345[[#This Row],[PNP Début]]=0,0,MIN(Horaires3567345[[#This Row],[PNP Fin corrigée]],fin_nuit)-MAX(Horaires3567345[[#This Row],[PNP Début corrigé]],deb_nuit)))*24</f>
        <v>0</v>
      </c>
      <c r="P21" s="50">
        <f>(IF(WEEKDAY(Horaires3567345[[#This Row],[Date]],2)=7,MAX(0,MIN(fin_dimJF,Horaires3567345[[#This Row],[Fin corrigée si nuit]])-MAX(deb_dimJF,Horaires3567345[[#This Row],[début]])),0)+IF(WEEKDAY(Horaires3567345[[#This Row],[Date]],2)=6,MAX(0,Horaires3567345[[#This Row],[Fin corrigée si nuit]]-(1+deb_dimJF)),0))*24</f>
        <v>0</v>
      </c>
      <c r="Q21" s="50">
        <f>(IF(WEEKDAY(Horaires3567345[[#This Row],[Date]],2)=7,MAX(0,MIN(fin_dimJF,Horaires3567345[[#This Row],[Fin corrigée si nuit]])-MAX(deb_dimJF,Horaires3567345[[#This Row],[début]])),0)+IF(WEEKDAY(Horaires3567345[[#This Row],[Date]],2)=6,MAX(0,Horaires3567345[[#This Row],[Fin corrigée si nuit]]-(1+deb_dimJF)),0))*24-
(IF(WEEKDAY(Horaires3567345[[#This Row],[Date]],2)=7,MAX(0,MIN(fin_dimJF,Horaires3567345[[#This Row],[PNP Fin corrigée]])-MAX(deb_dimJF,Horaires3567345[[#This Row],[PNP Début corrigé]])),0)+IF(WEEKDAY(Horaires3567345[[#This Row],[Date]],2)=6,MAX(0,Horaires3567345[[#This Row],[PNP Fin corrigée]]-(1+deb_dimJF)),0))*24</f>
        <v>0</v>
      </c>
      <c r="R21" s="50">
        <f>(IF(COUNTIF(JF,Horaires3567345[[#This Row],[Date]]),MAX(0,MIN(fin_dimJF,Horaires3567345[[#This Row],[Fin corrigée si nuit]])-MAX(deb_dimJF,Horaires3567345[[#This Row],[début]])),0)+IF(COUNTIF(JF,Horaires3567345[[#This Row],[Date]]+1),MAX(0,Horaires3567345[[#This Row],[Fin corrigée si nuit]]-(1+deb_dimJF)),0))*24</f>
        <v>0</v>
      </c>
      <c r="S21" s="50">
        <f>(IF(COUNTIF(JF,Horaires3567345[[#This Row],[Date]]),MAX(0,MIN(fin_dimJF,Horaires3567345[[#This Row],[Fin corrigée si nuit]])-MAX(deb_dimJF,Horaires3567345[[#This Row],[début]])),0)+IF(COUNTIF(JF,Horaires3567345[[#This Row],[Date]]+1),MAX(0,Horaires3567345[[#This Row],[Fin corrigée si nuit]]-(1+deb_dimJF)),0))*24-
(IF(COUNTIF(JF,Horaires3567345[[#This Row],[Date]]),MAX(0,MIN(fin_dimJF,Horaires3567345[[#This Row],[PNP Fin corrigée]])-MAX(deb_dimJF,Horaires3567345[[#This Row],[PNP Début corrigé]])),0)+IF(COUNTIF(JF,Horaires3567345[[#This Row],[Date]]+1),MAX(0,Horaires3567345[[#This Row],[PNP Fin corrigée]]-(1+deb_dimJF)),0))*24</f>
        <v>0</v>
      </c>
    </row>
    <row r="22" spans="1:19" x14ac:dyDescent="0.35">
      <c r="A22" s="5"/>
      <c r="B22" s="1"/>
      <c r="C22" s="13"/>
      <c r="D22" s="13"/>
      <c r="E22" s="3"/>
      <c r="F22" s="3"/>
      <c r="G22" s="3"/>
      <c r="H22" s="3"/>
      <c r="I22" s="51">
        <f>0.1*(Horaires3567345[[#This Row],[Heures de nuit]]+Horaires3567345[[#This Row],[heures jour dimanche]]+Horaires3567345[[#This Row],[heures jour fériés]])</f>
        <v>0</v>
      </c>
      <c r="J22" s="52">
        <f>(MOD(Horaires3567345[[#This Row],[Fin]]-Horaires3567345[[#This Row],[début]],1)-MOD(Horaires3567345[[#This Row],[PNP Fin]]-Horaires3567345[[#This Row],[PNP Début]],1))*24</f>
        <v>0</v>
      </c>
      <c r="K22" s="53">
        <f>IF(Horaires3567345[[#This Row],[PNP Début]]=0,0,IF(Horaires3567345[[#This Row],[PNP Début]]&lt;Horaires3567345[[#This Row],[début]],1,0)+Horaires3567345[[#This Row],[PNP Début]])</f>
        <v>0</v>
      </c>
      <c r="L22" s="54">
        <f>IF(Horaires3567345[[#This Row],[PNP Fin]]=0,0,IF(Horaires3567345[[#This Row],[PNP Fin]]&lt;Horaires3567345[[#This Row],[début]],1,0)+Horaires3567345[[#This Row],[PNP Fin]])</f>
        <v>0</v>
      </c>
      <c r="M22" s="54">
        <f>IF(Horaires3567345[[#This Row],[Fin]]&lt;Horaires3567345[[#This Row],[début]],1,0)+Horaires3567345[[#This Row],[Fin]]</f>
        <v>0</v>
      </c>
      <c r="N22" s="35">
        <f>IF(Horaires3567345[[#This Row],[Fin]]&lt;Horaires3567345[[#This Row],[début]],MAX(0,MIN(Horaires3567345[[#This Row],[Fin corrigée si nuit]],fin_nuit)-MAX(Horaires3567345[[#This Row],[début]],deb_nuit))*24,(MAX(deb_nuit,Horaires3567345[[#This Row],[Fin]])-MAX(deb_nuit,Horaires3567345[[#This Row],[début]])+MAX(MIN(fin_nuit-1,Horaires3567345[[#This Row],[Fin]])-MIN(fin_nuit-1,Horaires3567345[[#This Row],[début]]),0))*24)</f>
        <v>0</v>
      </c>
      <c r="O22" s="55">
        <f>(MAX(0,MIN(Horaires3567345[[#This Row],[Fin corrigée si nuit]],fin_nuit)-MAX(Horaires3567345[[#This Row],[début]],deb_nuit))-IF(Horaires3567345[[#This Row],[PNP Début]]=0,0,MIN(Horaires3567345[[#This Row],[PNP Fin corrigée]],fin_nuit)-MAX(Horaires3567345[[#This Row],[PNP Début corrigé]],deb_nuit)))*24</f>
        <v>0</v>
      </c>
      <c r="P22" s="55">
        <f>(IF(WEEKDAY(Horaires3567345[[#This Row],[Date]],2)=7,MAX(0,MIN(fin_dimJF,Horaires3567345[[#This Row],[Fin corrigée si nuit]])-MAX(deb_dimJF,Horaires3567345[[#This Row],[début]])),0)+IF(WEEKDAY(Horaires3567345[[#This Row],[Date]],2)=6,MAX(0,Horaires3567345[[#This Row],[Fin corrigée si nuit]]-(1+deb_dimJF)),0))*24</f>
        <v>0</v>
      </c>
      <c r="Q22" s="55">
        <f>(IF(WEEKDAY(Horaires3567345[[#This Row],[Date]],2)=7,MAX(0,MIN(fin_dimJF,Horaires3567345[[#This Row],[Fin corrigée si nuit]])-MAX(deb_dimJF,Horaires3567345[[#This Row],[début]])),0)+IF(WEEKDAY(Horaires3567345[[#This Row],[Date]],2)=6,MAX(0,Horaires3567345[[#This Row],[Fin corrigée si nuit]]-(1+deb_dimJF)),0))*24-
(IF(WEEKDAY(Horaires3567345[[#This Row],[Date]],2)=7,MAX(0,MIN(fin_dimJF,Horaires3567345[[#This Row],[PNP Fin corrigée]])-MAX(deb_dimJF,Horaires3567345[[#This Row],[PNP Début corrigé]])),0)+IF(WEEKDAY(Horaires3567345[[#This Row],[Date]],2)=6,MAX(0,Horaires3567345[[#This Row],[PNP Fin corrigée]]-(1+deb_dimJF)),0))*24</f>
        <v>0</v>
      </c>
      <c r="R22" s="55">
        <f>(IF(COUNTIF(JF,Horaires3567345[[#This Row],[Date]]),MAX(0,MIN(fin_dimJF,Horaires3567345[[#This Row],[Fin corrigée si nuit]])-MAX(deb_dimJF,Horaires3567345[[#This Row],[début]])),0)+IF(COUNTIF(JF,Horaires3567345[[#This Row],[Date]]+1),MAX(0,Horaires3567345[[#This Row],[Fin corrigée si nuit]]-(1+deb_dimJF)),0))*24</f>
        <v>0</v>
      </c>
      <c r="S22" s="55">
        <f>(IF(COUNTIF(JF,Horaires3567345[[#This Row],[Date]]),MAX(0,MIN(fin_dimJF,Horaires3567345[[#This Row],[Fin corrigée si nuit]])-MAX(deb_dimJF,Horaires3567345[[#This Row],[début]])),0)+IF(COUNTIF(JF,Horaires3567345[[#This Row],[Date]]+1),MAX(0,Horaires3567345[[#This Row],[Fin corrigée si nuit]]-(1+deb_dimJF)),0))*24-
(IF(COUNTIF(JF,Horaires3567345[[#This Row],[Date]]),MAX(0,MIN(fin_dimJF,Horaires3567345[[#This Row],[PNP Fin corrigée]])-MAX(deb_dimJF,Horaires3567345[[#This Row],[PNP Début corrigé]])),0)+IF(COUNTIF(JF,Horaires3567345[[#This Row],[Date]]+1),MAX(0,Horaires3567345[[#This Row],[PNP Fin corrigée]]-(1+deb_dimJF)),0))*24</f>
        <v>0</v>
      </c>
    </row>
    <row r="23" spans="1:19" x14ac:dyDescent="0.35">
      <c r="A23" s="5"/>
      <c r="B23" s="1"/>
      <c r="C23" s="13"/>
      <c r="D23" s="13"/>
      <c r="E23" s="3"/>
      <c r="F23" s="3"/>
      <c r="G23" s="3"/>
      <c r="H23" s="3"/>
      <c r="I23" s="51">
        <f>0.1*(Horaires3567345[[#This Row],[Heures de nuit]]+Horaires3567345[[#This Row],[heures jour dimanche]]+Horaires3567345[[#This Row],[heures jour fériés]])</f>
        <v>0</v>
      </c>
      <c r="J23" s="52">
        <f>(MOD(Horaires3567345[[#This Row],[Fin]]-Horaires3567345[[#This Row],[début]],1)-MOD(Horaires3567345[[#This Row],[PNP Fin]]-Horaires3567345[[#This Row],[PNP Début]],1))*24</f>
        <v>0</v>
      </c>
      <c r="K23" s="53">
        <f>IF(Horaires3567345[[#This Row],[PNP Début]]=0,0,IF(Horaires3567345[[#This Row],[PNP Début]]&lt;Horaires3567345[[#This Row],[début]],1,0)+Horaires3567345[[#This Row],[PNP Début]])</f>
        <v>0</v>
      </c>
      <c r="L23" s="54">
        <f>IF(Horaires3567345[[#This Row],[PNP Fin]]=0,0,IF(Horaires3567345[[#This Row],[PNP Fin]]&lt;Horaires3567345[[#This Row],[début]],1,0)+Horaires3567345[[#This Row],[PNP Fin]])</f>
        <v>0</v>
      </c>
      <c r="M23" s="54">
        <f>IF(Horaires3567345[[#This Row],[Fin]]&lt;Horaires3567345[[#This Row],[début]],1,0)+Horaires3567345[[#This Row],[Fin]]</f>
        <v>0</v>
      </c>
      <c r="N23" s="35">
        <f>IF(Horaires3567345[[#This Row],[Fin]]&lt;Horaires3567345[[#This Row],[début]],MAX(0,MIN(Horaires3567345[[#This Row],[Fin corrigée si nuit]],fin_nuit)-MAX(Horaires3567345[[#This Row],[début]],deb_nuit))*24,(MAX(deb_nuit,Horaires3567345[[#This Row],[Fin]])-MAX(deb_nuit,Horaires3567345[[#This Row],[début]])+MAX(MIN(fin_nuit-1,Horaires3567345[[#This Row],[Fin]])-MIN(fin_nuit-1,Horaires3567345[[#This Row],[début]]),0))*24)</f>
        <v>0</v>
      </c>
      <c r="O23" s="55">
        <f>(MAX(0,MIN(Horaires3567345[[#This Row],[Fin corrigée si nuit]],fin_nuit)-MAX(Horaires3567345[[#This Row],[début]],deb_nuit))-IF(Horaires3567345[[#This Row],[PNP Début]]=0,0,MIN(Horaires3567345[[#This Row],[PNP Fin corrigée]],fin_nuit)-MAX(Horaires3567345[[#This Row],[PNP Début corrigé]],deb_nuit)))*24</f>
        <v>0</v>
      </c>
      <c r="P23" s="55">
        <f>(IF(WEEKDAY(Horaires3567345[[#This Row],[Date]],2)=7,MAX(0,MIN(fin_dimJF,Horaires3567345[[#This Row],[Fin corrigée si nuit]])-MAX(deb_dimJF,Horaires3567345[[#This Row],[début]])),0)+IF(WEEKDAY(Horaires3567345[[#This Row],[Date]],2)=6,MAX(0,Horaires3567345[[#This Row],[Fin corrigée si nuit]]-(1+deb_dimJF)),0))*24</f>
        <v>0</v>
      </c>
      <c r="Q23" s="55">
        <f>(IF(WEEKDAY(Horaires3567345[[#This Row],[Date]],2)=7,MAX(0,MIN(fin_dimJF,Horaires3567345[[#This Row],[Fin corrigée si nuit]])-MAX(deb_dimJF,Horaires3567345[[#This Row],[début]])),0)+IF(WEEKDAY(Horaires3567345[[#This Row],[Date]],2)=6,MAX(0,Horaires3567345[[#This Row],[Fin corrigée si nuit]]-(1+deb_dimJF)),0))*24-
(IF(WEEKDAY(Horaires3567345[[#This Row],[Date]],2)=7,MAX(0,MIN(fin_dimJF,Horaires3567345[[#This Row],[PNP Fin corrigée]])-MAX(deb_dimJF,Horaires3567345[[#This Row],[PNP Début corrigé]])),0)+IF(WEEKDAY(Horaires3567345[[#This Row],[Date]],2)=6,MAX(0,Horaires3567345[[#This Row],[PNP Fin corrigée]]-(1+deb_dimJF)),0))*24</f>
        <v>0</v>
      </c>
      <c r="R23" s="55">
        <f>(IF(COUNTIF(JF,Horaires3567345[[#This Row],[Date]]),MAX(0,MIN(fin_dimJF,Horaires3567345[[#This Row],[Fin corrigée si nuit]])-MAX(deb_dimJF,Horaires3567345[[#This Row],[début]])),0)+IF(COUNTIF(JF,Horaires3567345[[#This Row],[Date]]+1),MAX(0,Horaires3567345[[#This Row],[Fin corrigée si nuit]]-(1+deb_dimJF)),0))*24</f>
        <v>0</v>
      </c>
      <c r="S23" s="55">
        <f>(IF(COUNTIF(JF,Horaires3567345[[#This Row],[Date]]),MAX(0,MIN(fin_dimJF,Horaires3567345[[#This Row],[Fin corrigée si nuit]])-MAX(deb_dimJF,Horaires3567345[[#This Row],[début]])),0)+IF(COUNTIF(JF,Horaires3567345[[#This Row],[Date]]+1),MAX(0,Horaires3567345[[#This Row],[Fin corrigée si nuit]]-(1+deb_dimJF)),0))*24-
(IF(COUNTIF(JF,Horaires3567345[[#This Row],[Date]]),MAX(0,MIN(fin_dimJF,Horaires3567345[[#This Row],[PNP Fin corrigée]])-MAX(deb_dimJF,Horaires3567345[[#This Row],[PNP Début corrigé]])),0)+IF(COUNTIF(JF,Horaires3567345[[#This Row],[Date]]+1),MAX(0,Horaires3567345[[#This Row],[PNP Fin corrigée]]-(1+deb_dimJF)),0))*24</f>
        <v>0</v>
      </c>
    </row>
    <row r="24" spans="1:19" x14ac:dyDescent="0.35">
      <c r="A24" s="5"/>
      <c r="B24" s="1"/>
      <c r="C24" s="2"/>
      <c r="D24" s="2"/>
      <c r="E24" s="3"/>
      <c r="F24" s="3"/>
      <c r="G24" s="3"/>
      <c r="H24" s="3"/>
      <c r="I24" s="51">
        <f>0.1*(Horaires3567345[[#This Row],[Heures de nuit]]+Horaires3567345[[#This Row],[heures jour dimanche]]+Horaires3567345[[#This Row],[heures jour fériés]])</f>
        <v>0</v>
      </c>
      <c r="J24" s="52">
        <f>(MOD(Horaires3567345[[#This Row],[Fin]]-Horaires3567345[[#This Row],[début]],1)-MOD(Horaires3567345[[#This Row],[PNP Fin]]-Horaires3567345[[#This Row],[PNP Début]],1))*24</f>
        <v>0</v>
      </c>
      <c r="K24" s="53">
        <f>IF(Horaires3567345[[#This Row],[PNP Début]]=0,0,IF(Horaires3567345[[#This Row],[PNP Début]]&lt;Horaires3567345[[#This Row],[début]],1,0)+Horaires3567345[[#This Row],[PNP Début]])</f>
        <v>0</v>
      </c>
      <c r="L24" s="54">
        <f>IF(Horaires3567345[[#This Row],[PNP Fin]]=0,0,IF(Horaires3567345[[#This Row],[PNP Fin]]&lt;Horaires3567345[[#This Row],[début]],1,0)+Horaires3567345[[#This Row],[PNP Fin]])</f>
        <v>0</v>
      </c>
      <c r="M24" s="54">
        <f>IF(Horaires3567345[[#This Row],[Fin]]&lt;Horaires3567345[[#This Row],[début]],1,0)+Horaires3567345[[#This Row],[Fin]]</f>
        <v>0</v>
      </c>
      <c r="N24" s="35">
        <f>IF(Horaires3567345[[#This Row],[Fin]]&lt;Horaires3567345[[#This Row],[début]],MAX(0,MIN(Horaires3567345[[#This Row],[Fin corrigée si nuit]],fin_nuit)-MAX(Horaires3567345[[#This Row],[début]],deb_nuit))*24,(MAX(deb_nuit,Horaires3567345[[#This Row],[Fin]])-MAX(deb_nuit,Horaires3567345[[#This Row],[début]])+MAX(MIN(fin_nuit-1,Horaires3567345[[#This Row],[Fin]])-MIN(fin_nuit-1,Horaires3567345[[#This Row],[début]]),0))*24)</f>
        <v>0</v>
      </c>
      <c r="O24" s="55">
        <f>(MAX(0,MIN(Horaires3567345[[#This Row],[Fin corrigée si nuit]],fin_nuit)-MAX(Horaires3567345[[#This Row],[début]],deb_nuit))-IF(Horaires3567345[[#This Row],[PNP Début]]=0,0,MIN(Horaires3567345[[#This Row],[PNP Fin corrigée]],fin_nuit)-MAX(Horaires3567345[[#This Row],[PNP Début corrigé]],deb_nuit)))*24</f>
        <v>0</v>
      </c>
      <c r="P24" s="55">
        <f>(IF(WEEKDAY(Horaires3567345[[#This Row],[Date]],2)=7,MAX(0,MIN(fin_dimJF,Horaires3567345[[#This Row],[Fin corrigée si nuit]])-MAX(deb_dimJF,Horaires3567345[[#This Row],[début]])),0)+IF(WEEKDAY(Horaires3567345[[#This Row],[Date]],2)=6,MAX(0,Horaires3567345[[#This Row],[Fin corrigée si nuit]]-(1+deb_dimJF)),0))*24</f>
        <v>0</v>
      </c>
      <c r="Q24" s="55">
        <f>(IF(WEEKDAY(Horaires3567345[[#This Row],[Date]],2)=7,MAX(0,MIN(fin_dimJF,Horaires3567345[[#This Row],[Fin corrigée si nuit]])-MAX(deb_dimJF,Horaires3567345[[#This Row],[début]])),0)+IF(WEEKDAY(Horaires3567345[[#This Row],[Date]],2)=6,MAX(0,Horaires3567345[[#This Row],[Fin corrigée si nuit]]-(1+deb_dimJF)),0))*24-
(IF(WEEKDAY(Horaires3567345[[#This Row],[Date]],2)=7,MAX(0,MIN(fin_dimJF,Horaires3567345[[#This Row],[PNP Fin corrigée]])-MAX(deb_dimJF,Horaires3567345[[#This Row],[PNP Début corrigé]])),0)+IF(WEEKDAY(Horaires3567345[[#This Row],[Date]],2)=6,MAX(0,Horaires3567345[[#This Row],[PNP Fin corrigée]]-(1+deb_dimJF)),0))*24</f>
        <v>0</v>
      </c>
      <c r="R24" s="55">
        <f>(IF(COUNTIF(JF,Horaires3567345[[#This Row],[Date]]),MAX(0,MIN(fin_dimJF,Horaires3567345[[#This Row],[Fin corrigée si nuit]])-MAX(deb_dimJF,Horaires3567345[[#This Row],[début]])),0)+IF(COUNTIF(JF,Horaires3567345[[#This Row],[Date]]+1),MAX(0,Horaires3567345[[#This Row],[Fin corrigée si nuit]]-(1+deb_dimJF)),0))*24</f>
        <v>0</v>
      </c>
      <c r="S24" s="55">
        <f>(IF(COUNTIF(JF,Horaires3567345[[#This Row],[Date]]),MAX(0,MIN(fin_dimJF,Horaires3567345[[#This Row],[Fin corrigée si nuit]])-MAX(deb_dimJF,Horaires3567345[[#This Row],[début]])),0)+IF(COUNTIF(JF,Horaires3567345[[#This Row],[Date]]+1),MAX(0,Horaires3567345[[#This Row],[Fin corrigée si nuit]]-(1+deb_dimJF)),0))*24-
(IF(COUNTIF(JF,Horaires3567345[[#This Row],[Date]]),MAX(0,MIN(fin_dimJF,Horaires3567345[[#This Row],[PNP Fin corrigée]])-MAX(deb_dimJF,Horaires3567345[[#This Row],[PNP Début corrigé]])),0)+IF(COUNTIF(JF,Horaires3567345[[#This Row],[Date]]+1),MAX(0,Horaires3567345[[#This Row],[PNP Fin corrigée]]-(1+deb_dimJF)),0))*24</f>
        <v>0</v>
      </c>
    </row>
    <row r="25" spans="1:19" x14ac:dyDescent="0.35">
      <c r="A25" s="5"/>
      <c r="B25" s="1"/>
      <c r="C25" s="2"/>
      <c r="D25" s="2"/>
      <c r="E25" s="3"/>
      <c r="F25" s="3"/>
      <c r="G25" s="3"/>
      <c r="H25" s="3"/>
      <c r="I25" s="51">
        <f>0.1*(Horaires3567345[[#This Row],[Heures de nuit]]+Horaires3567345[[#This Row],[heures jour dimanche]]+Horaires3567345[[#This Row],[heures jour fériés]])</f>
        <v>0</v>
      </c>
      <c r="J25" s="52">
        <f>(MOD(Horaires3567345[[#This Row],[Fin]]-Horaires3567345[[#This Row],[début]],1)-MOD(Horaires3567345[[#This Row],[PNP Fin]]-Horaires3567345[[#This Row],[PNP Début]],1))*24</f>
        <v>0</v>
      </c>
      <c r="K25" s="53">
        <f>IF(Horaires3567345[[#This Row],[PNP Début]]=0,0,IF(Horaires3567345[[#This Row],[PNP Début]]&lt;Horaires3567345[[#This Row],[début]],1,0)+Horaires3567345[[#This Row],[PNP Début]])</f>
        <v>0</v>
      </c>
      <c r="L25" s="54">
        <f>IF(Horaires3567345[[#This Row],[PNP Fin]]=0,0,IF(Horaires3567345[[#This Row],[PNP Fin]]&lt;Horaires3567345[[#This Row],[début]],1,0)+Horaires3567345[[#This Row],[PNP Fin]])</f>
        <v>0</v>
      </c>
      <c r="M25" s="54">
        <f>IF(Horaires3567345[[#This Row],[Fin]]&lt;Horaires3567345[[#This Row],[début]],1,0)+Horaires3567345[[#This Row],[Fin]]</f>
        <v>0</v>
      </c>
      <c r="N25" s="35">
        <f>IF(Horaires3567345[[#This Row],[Fin]]&lt;Horaires3567345[[#This Row],[début]],MAX(0,MIN(Horaires3567345[[#This Row],[Fin corrigée si nuit]],fin_nuit)-MAX(Horaires3567345[[#This Row],[début]],deb_nuit))*24,(MAX(deb_nuit,Horaires3567345[[#This Row],[Fin]])-MAX(deb_nuit,Horaires3567345[[#This Row],[début]])+MAX(MIN(fin_nuit-1,Horaires3567345[[#This Row],[Fin]])-MIN(fin_nuit-1,Horaires3567345[[#This Row],[début]]),0))*24)</f>
        <v>0</v>
      </c>
      <c r="O25" s="55">
        <f>(MAX(0,MIN(Horaires3567345[[#This Row],[Fin corrigée si nuit]],fin_nuit)-MAX(Horaires3567345[[#This Row],[début]],deb_nuit))-IF(Horaires3567345[[#This Row],[PNP Début]]=0,0,MIN(Horaires3567345[[#This Row],[PNP Fin corrigée]],fin_nuit)-MAX(Horaires3567345[[#This Row],[PNP Début corrigé]],deb_nuit)))*24</f>
        <v>0</v>
      </c>
      <c r="P25" s="55">
        <f>(IF(WEEKDAY(Horaires3567345[[#This Row],[Date]],2)=7,MAX(0,MIN(fin_dimJF,Horaires3567345[[#This Row],[Fin corrigée si nuit]])-MAX(deb_dimJF,Horaires3567345[[#This Row],[début]])),0)+IF(WEEKDAY(Horaires3567345[[#This Row],[Date]],2)=6,MAX(0,Horaires3567345[[#This Row],[Fin corrigée si nuit]]-(1+deb_dimJF)),0))*24</f>
        <v>0</v>
      </c>
      <c r="Q25" s="55">
        <f>(IF(WEEKDAY(Horaires3567345[[#This Row],[Date]],2)=7,MAX(0,MIN(fin_dimJF,Horaires3567345[[#This Row],[Fin corrigée si nuit]])-MAX(deb_dimJF,Horaires3567345[[#This Row],[début]])),0)+IF(WEEKDAY(Horaires3567345[[#This Row],[Date]],2)=6,MAX(0,Horaires3567345[[#This Row],[Fin corrigée si nuit]]-(1+deb_dimJF)),0))*24-
(IF(WEEKDAY(Horaires3567345[[#This Row],[Date]],2)=7,MAX(0,MIN(fin_dimJF,Horaires3567345[[#This Row],[PNP Fin corrigée]])-MAX(deb_dimJF,Horaires3567345[[#This Row],[PNP Début corrigé]])),0)+IF(WEEKDAY(Horaires3567345[[#This Row],[Date]],2)=6,MAX(0,Horaires3567345[[#This Row],[PNP Fin corrigée]]-(1+deb_dimJF)),0))*24</f>
        <v>0</v>
      </c>
      <c r="R25" s="55">
        <f>(IF(COUNTIF(JF,Horaires3567345[[#This Row],[Date]]),MAX(0,MIN(fin_dimJF,Horaires3567345[[#This Row],[Fin corrigée si nuit]])-MAX(deb_dimJF,Horaires3567345[[#This Row],[début]])),0)+IF(COUNTIF(JF,Horaires3567345[[#This Row],[Date]]+1),MAX(0,Horaires3567345[[#This Row],[Fin corrigée si nuit]]-(1+deb_dimJF)),0))*24</f>
        <v>0</v>
      </c>
      <c r="S25" s="55">
        <f>(IF(COUNTIF(JF,Horaires3567345[[#This Row],[Date]]),MAX(0,MIN(fin_dimJF,Horaires3567345[[#This Row],[Fin corrigée si nuit]])-MAX(deb_dimJF,Horaires3567345[[#This Row],[début]])),0)+IF(COUNTIF(JF,Horaires3567345[[#This Row],[Date]]+1),MAX(0,Horaires3567345[[#This Row],[Fin corrigée si nuit]]-(1+deb_dimJF)),0))*24-
(IF(COUNTIF(JF,Horaires3567345[[#This Row],[Date]]),MAX(0,MIN(fin_dimJF,Horaires3567345[[#This Row],[PNP Fin corrigée]])-MAX(deb_dimJF,Horaires3567345[[#This Row],[PNP Début corrigé]])),0)+IF(COUNTIF(JF,Horaires3567345[[#This Row],[Date]]+1),MAX(0,Horaires3567345[[#This Row],[PNP Fin corrigée]]-(1+deb_dimJF)),0))*24</f>
        <v>0</v>
      </c>
    </row>
    <row r="26" spans="1:19" ht="14.4" customHeight="1" x14ac:dyDescent="0.35">
      <c r="A26" s="5"/>
      <c r="B26" s="1"/>
      <c r="C26" s="2"/>
      <c r="D26" s="2"/>
      <c r="E26" s="3"/>
      <c r="F26" s="3"/>
      <c r="G26" s="3"/>
      <c r="H26" s="3"/>
      <c r="I26" s="51">
        <f>0.1*(Horaires3567345[[#This Row],[Heures de nuit]]+Horaires3567345[[#This Row],[heures jour dimanche]]+Horaires3567345[[#This Row],[heures jour fériés]])</f>
        <v>0</v>
      </c>
      <c r="J26" s="52">
        <f>(MOD(Horaires3567345[[#This Row],[Fin]]-Horaires3567345[[#This Row],[début]],1)-MOD(Horaires3567345[[#This Row],[PNP Fin]]-Horaires3567345[[#This Row],[PNP Début]],1))*24</f>
        <v>0</v>
      </c>
      <c r="K26" s="53">
        <f>IF(Horaires3567345[[#This Row],[PNP Début]]=0,0,IF(Horaires3567345[[#This Row],[PNP Début]]&lt;Horaires3567345[[#This Row],[début]],1,0)+Horaires3567345[[#This Row],[PNP Début]])</f>
        <v>0</v>
      </c>
      <c r="L26" s="54">
        <f>IF(Horaires3567345[[#This Row],[PNP Fin]]=0,0,IF(Horaires3567345[[#This Row],[PNP Fin]]&lt;Horaires3567345[[#This Row],[début]],1,0)+Horaires3567345[[#This Row],[PNP Fin]])</f>
        <v>0</v>
      </c>
      <c r="M26" s="54">
        <f>IF(Horaires3567345[[#This Row],[Fin]]&lt;Horaires3567345[[#This Row],[début]],1,0)+Horaires3567345[[#This Row],[Fin]]</f>
        <v>0</v>
      </c>
      <c r="N26" s="35">
        <f>IF(Horaires3567345[[#This Row],[Fin]]&lt;Horaires3567345[[#This Row],[début]],MAX(0,MIN(Horaires3567345[[#This Row],[Fin corrigée si nuit]],fin_nuit)-MAX(Horaires3567345[[#This Row],[début]],deb_nuit))*24,(MAX(deb_nuit,Horaires3567345[[#This Row],[Fin]])-MAX(deb_nuit,Horaires3567345[[#This Row],[début]])+MAX(MIN(fin_nuit-1,Horaires3567345[[#This Row],[Fin]])-MIN(fin_nuit-1,Horaires3567345[[#This Row],[début]]),0))*24)</f>
        <v>0</v>
      </c>
      <c r="O26" s="55">
        <f>(MAX(0,MIN(Horaires3567345[[#This Row],[Fin corrigée si nuit]],fin_nuit)-MAX(Horaires3567345[[#This Row],[début]],deb_nuit))-IF(Horaires3567345[[#This Row],[PNP Début]]=0,0,MIN(Horaires3567345[[#This Row],[PNP Fin corrigée]],fin_nuit)-MAX(Horaires3567345[[#This Row],[PNP Début corrigé]],deb_nuit)))*24</f>
        <v>0</v>
      </c>
      <c r="P26" s="55">
        <f>(IF(WEEKDAY(Horaires3567345[[#This Row],[Date]],2)=7,MAX(0,MIN(fin_dimJF,Horaires3567345[[#This Row],[Fin corrigée si nuit]])-MAX(deb_dimJF,Horaires3567345[[#This Row],[début]])),0)+IF(WEEKDAY(Horaires3567345[[#This Row],[Date]],2)=6,MAX(0,Horaires3567345[[#This Row],[Fin corrigée si nuit]]-(1+deb_dimJF)),0))*24</f>
        <v>0</v>
      </c>
      <c r="Q26" s="55">
        <f>(IF(WEEKDAY(Horaires3567345[[#This Row],[Date]],2)=7,MAX(0,MIN(fin_dimJF,Horaires3567345[[#This Row],[Fin corrigée si nuit]])-MAX(deb_dimJF,Horaires3567345[[#This Row],[début]])),0)+IF(WEEKDAY(Horaires3567345[[#This Row],[Date]],2)=6,MAX(0,Horaires3567345[[#This Row],[Fin corrigée si nuit]]-(1+deb_dimJF)),0))*24-
(IF(WEEKDAY(Horaires3567345[[#This Row],[Date]],2)=7,MAX(0,MIN(fin_dimJF,Horaires3567345[[#This Row],[PNP Fin corrigée]])-MAX(deb_dimJF,Horaires3567345[[#This Row],[PNP Début corrigé]])),0)+IF(WEEKDAY(Horaires3567345[[#This Row],[Date]],2)=6,MAX(0,Horaires3567345[[#This Row],[PNP Fin corrigée]]-(1+deb_dimJF)),0))*24</f>
        <v>0</v>
      </c>
      <c r="R26" s="55">
        <f>(IF(COUNTIF(JF,Horaires3567345[[#This Row],[Date]]),MAX(0,MIN(fin_dimJF,Horaires3567345[[#This Row],[Fin corrigée si nuit]])-MAX(deb_dimJF,Horaires3567345[[#This Row],[début]])),0)+IF(COUNTIF(JF,Horaires3567345[[#This Row],[Date]]+1),MAX(0,Horaires3567345[[#This Row],[Fin corrigée si nuit]]-(1+deb_dimJF)),0))*24</f>
        <v>0</v>
      </c>
      <c r="S26" s="55">
        <f>(IF(COUNTIF(JF,Horaires3567345[[#This Row],[Date]]),MAX(0,MIN(fin_dimJF,Horaires3567345[[#This Row],[Fin corrigée si nuit]])-MAX(deb_dimJF,Horaires3567345[[#This Row],[début]])),0)+IF(COUNTIF(JF,Horaires3567345[[#This Row],[Date]]+1),MAX(0,Horaires3567345[[#This Row],[Fin corrigée si nuit]]-(1+deb_dimJF)),0))*24-
(IF(COUNTIF(JF,Horaires3567345[[#This Row],[Date]]),MAX(0,MIN(fin_dimJF,Horaires3567345[[#This Row],[PNP Fin corrigée]])-MAX(deb_dimJF,Horaires3567345[[#This Row],[PNP Début corrigé]])),0)+IF(COUNTIF(JF,Horaires3567345[[#This Row],[Date]]+1),MAX(0,Horaires3567345[[#This Row],[PNP Fin corrigée]]-(1+deb_dimJF)),0))*24</f>
        <v>0</v>
      </c>
    </row>
    <row r="27" spans="1:19" x14ac:dyDescent="0.35">
      <c r="A27" s="5"/>
      <c r="B27" s="1"/>
      <c r="C27" s="2"/>
      <c r="D27" s="2"/>
      <c r="E27" s="3"/>
      <c r="F27" s="3"/>
      <c r="G27" s="3"/>
      <c r="H27" s="3"/>
      <c r="I27" s="51">
        <f>0.1*(Horaires3567345[[#This Row],[Heures de nuit]]+Horaires3567345[[#This Row],[heures jour dimanche]]+Horaires3567345[[#This Row],[heures jour fériés]])</f>
        <v>0</v>
      </c>
      <c r="J27" s="52">
        <f>(MOD(Horaires3567345[[#This Row],[Fin]]-Horaires3567345[[#This Row],[début]],1)-MOD(Horaires3567345[[#This Row],[PNP Fin]]-Horaires3567345[[#This Row],[PNP Début]],1))*24</f>
        <v>0</v>
      </c>
      <c r="K27" s="53">
        <f>IF(Horaires3567345[[#This Row],[PNP Début]]=0,0,IF(Horaires3567345[[#This Row],[PNP Début]]&lt;Horaires3567345[[#This Row],[début]],1,0)+Horaires3567345[[#This Row],[PNP Début]])</f>
        <v>0</v>
      </c>
      <c r="L27" s="54">
        <f>IF(Horaires3567345[[#This Row],[PNP Fin]]=0,0,IF(Horaires3567345[[#This Row],[PNP Fin]]&lt;Horaires3567345[[#This Row],[début]],1,0)+Horaires3567345[[#This Row],[PNP Fin]])</f>
        <v>0</v>
      </c>
      <c r="M27" s="54">
        <f>IF(Horaires3567345[[#This Row],[Fin]]&lt;Horaires3567345[[#This Row],[début]],1,0)+Horaires3567345[[#This Row],[Fin]]</f>
        <v>0</v>
      </c>
      <c r="N27" s="35">
        <f>IF(Horaires3567345[[#This Row],[Fin]]&lt;Horaires3567345[[#This Row],[début]],MAX(0,MIN(Horaires3567345[[#This Row],[Fin corrigée si nuit]],fin_nuit)-MAX(Horaires3567345[[#This Row],[début]],deb_nuit))*24,(MAX(deb_nuit,Horaires3567345[[#This Row],[Fin]])-MAX(deb_nuit,Horaires3567345[[#This Row],[début]])+MAX(MIN(fin_nuit-1,Horaires3567345[[#This Row],[Fin]])-MIN(fin_nuit-1,Horaires3567345[[#This Row],[début]]),0))*24)</f>
        <v>0</v>
      </c>
      <c r="O27" s="55">
        <f>(MAX(0,MIN(Horaires3567345[[#This Row],[Fin corrigée si nuit]],fin_nuit)-MAX(Horaires3567345[[#This Row],[début]],deb_nuit))-IF(Horaires3567345[[#This Row],[PNP Début]]=0,0,MIN(Horaires3567345[[#This Row],[PNP Fin corrigée]],fin_nuit)-MAX(Horaires3567345[[#This Row],[PNP Début corrigé]],deb_nuit)))*24</f>
        <v>0</v>
      </c>
      <c r="P27" s="55">
        <f>(IF(WEEKDAY(Horaires3567345[[#This Row],[Date]],2)=7,MAX(0,MIN(fin_dimJF,Horaires3567345[[#This Row],[Fin corrigée si nuit]])-MAX(deb_dimJF,Horaires3567345[[#This Row],[début]])),0)+IF(WEEKDAY(Horaires3567345[[#This Row],[Date]],2)=6,MAX(0,Horaires3567345[[#This Row],[Fin corrigée si nuit]]-(1+deb_dimJF)),0))*24</f>
        <v>0</v>
      </c>
      <c r="Q27" s="55">
        <f>(IF(WEEKDAY(Horaires3567345[[#This Row],[Date]],2)=7,MAX(0,MIN(fin_dimJF,Horaires3567345[[#This Row],[Fin corrigée si nuit]])-MAX(deb_dimJF,Horaires3567345[[#This Row],[début]])),0)+IF(WEEKDAY(Horaires3567345[[#This Row],[Date]],2)=6,MAX(0,Horaires3567345[[#This Row],[Fin corrigée si nuit]]-(1+deb_dimJF)),0))*24-
(IF(WEEKDAY(Horaires3567345[[#This Row],[Date]],2)=7,MAX(0,MIN(fin_dimJF,Horaires3567345[[#This Row],[PNP Fin corrigée]])-MAX(deb_dimJF,Horaires3567345[[#This Row],[PNP Début corrigé]])),0)+IF(WEEKDAY(Horaires3567345[[#This Row],[Date]],2)=6,MAX(0,Horaires3567345[[#This Row],[PNP Fin corrigée]]-(1+deb_dimJF)),0))*24</f>
        <v>0</v>
      </c>
      <c r="R27" s="55">
        <f>(IF(COUNTIF(JF,Horaires3567345[[#This Row],[Date]]),MAX(0,MIN(fin_dimJF,Horaires3567345[[#This Row],[Fin corrigée si nuit]])-MAX(deb_dimJF,Horaires3567345[[#This Row],[début]])),0)+IF(COUNTIF(JF,Horaires3567345[[#This Row],[Date]]+1),MAX(0,Horaires3567345[[#This Row],[Fin corrigée si nuit]]-(1+deb_dimJF)),0))*24</f>
        <v>0</v>
      </c>
      <c r="S27" s="55">
        <f>(IF(COUNTIF(JF,Horaires3567345[[#This Row],[Date]]),MAX(0,MIN(fin_dimJF,Horaires3567345[[#This Row],[Fin corrigée si nuit]])-MAX(deb_dimJF,Horaires3567345[[#This Row],[début]])),0)+IF(COUNTIF(JF,Horaires3567345[[#This Row],[Date]]+1),MAX(0,Horaires3567345[[#This Row],[Fin corrigée si nuit]]-(1+deb_dimJF)),0))*24-
(IF(COUNTIF(JF,Horaires3567345[[#This Row],[Date]]),MAX(0,MIN(fin_dimJF,Horaires3567345[[#This Row],[PNP Fin corrigée]])-MAX(deb_dimJF,Horaires3567345[[#This Row],[PNP Début corrigé]])),0)+IF(COUNTIF(JF,Horaires3567345[[#This Row],[Date]]+1),MAX(0,Horaires3567345[[#This Row],[PNP Fin corrigée]]-(1+deb_dimJF)),0))*24</f>
        <v>0</v>
      </c>
    </row>
    <row r="28" spans="1:19" x14ac:dyDescent="0.35">
      <c r="A28" s="5"/>
      <c r="B28" s="1"/>
      <c r="C28" s="2"/>
      <c r="D28" s="2"/>
      <c r="E28" s="3"/>
      <c r="F28" s="3"/>
      <c r="G28" s="3"/>
      <c r="H28" s="3"/>
      <c r="I28" s="51">
        <f>0.1*(Horaires3567345[[#This Row],[Heures de nuit]]+Horaires3567345[[#This Row],[heures jour dimanche]]+Horaires3567345[[#This Row],[heures jour fériés]])</f>
        <v>0</v>
      </c>
      <c r="J28" s="52">
        <f>(MOD(Horaires3567345[[#This Row],[Fin]]-Horaires3567345[[#This Row],[début]],1)-MOD(Horaires3567345[[#This Row],[PNP Fin]]-Horaires3567345[[#This Row],[PNP Début]],1))*24</f>
        <v>0</v>
      </c>
      <c r="K28" s="53">
        <f>IF(Horaires3567345[[#This Row],[PNP Début]]=0,0,IF(Horaires3567345[[#This Row],[PNP Début]]&lt;Horaires3567345[[#This Row],[début]],1,0)+Horaires3567345[[#This Row],[PNP Début]])</f>
        <v>0</v>
      </c>
      <c r="L28" s="54">
        <f>IF(Horaires3567345[[#This Row],[PNP Fin]]=0,0,IF(Horaires3567345[[#This Row],[PNP Fin]]&lt;Horaires3567345[[#This Row],[début]],1,0)+Horaires3567345[[#This Row],[PNP Fin]])</f>
        <v>0</v>
      </c>
      <c r="M28" s="54">
        <f>IF(Horaires3567345[[#This Row],[Fin]]&lt;Horaires3567345[[#This Row],[début]],1,0)+Horaires3567345[[#This Row],[Fin]]</f>
        <v>0</v>
      </c>
      <c r="N28" s="35">
        <f>IF(Horaires3567345[[#This Row],[Fin]]&lt;Horaires3567345[[#This Row],[début]],MAX(0,MIN(Horaires3567345[[#This Row],[Fin corrigée si nuit]],fin_nuit)-MAX(Horaires3567345[[#This Row],[début]],deb_nuit))*24,(MAX(deb_nuit,Horaires3567345[[#This Row],[Fin]])-MAX(deb_nuit,Horaires3567345[[#This Row],[début]])+MAX(MIN(fin_nuit-1,Horaires3567345[[#This Row],[Fin]])-MIN(fin_nuit-1,Horaires3567345[[#This Row],[début]]),0))*24)</f>
        <v>0</v>
      </c>
      <c r="O28" s="55">
        <f>(MAX(0,MIN(Horaires3567345[[#This Row],[Fin corrigée si nuit]],fin_nuit)-MAX(Horaires3567345[[#This Row],[début]],deb_nuit))-IF(Horaires3567345[[#This Row],[PNP Début]]=0,0,MIN(Horaires3567345[[#This Row],[PNP Fin corrigée]],fin_nuit)-MAX(Horaires3567345[[#This Row],[PNP Début corrigé]],deb_nuit)))*24</f>
        <v>0</v>
      </c>
      <c r="P28" s="55">
        <f>(IF(WEEKDAY(Horaires3567345[[#This Row],[Date]],2)=7,MAX(0,MIN(fin_dimJF,Horaires3567345[[#This Row],[Fin corrigée si nuit]])-MAX(deb_dimJF,Horaires3567345[[#This Row],[début]])),0)+IF(WEEKDAY(Horaires3567345[[#This Row],[Date]],2)=6,MAX(0,Horaires3567345[[#This Row],[Fin corrigée si nuit]]-(1+deb_dimJF)),0))*24</f>
        <v>0</v>
      </c>
      <c r="Q28" s="55">
        <f>(IF(WEEKDAY(Horaires3567345[[#This Row],[Date]],2)=7,MAX(0,MIN(fin_dimJF,Horaires3567345[[#This Row],[Fin corrigée si nuit]])-MAX(deb_dimJF,Horaires3567345[[#This Row],[début]])),0)+IF(WEEKDAY(Horaires3567345[[#This Row],[Date]],2)=6,MAX(0,Horaires3567345[[#This Row],[Fin corrigée si nuit]]-(1+deb_dimJF)),0))*24-
(IF(WEEKDAY(Horaires3567345[[#This Row],[Date]],2)=7,MAX(0,MIN(fin_dimJF,Horaires3567345[[#This Row],[PNP Fin corrigée]])-MAX(deb_dimJF,Horaires3567345[[#This Row],[PNP Début corrigé]])),0)+IF(WEEKDAY(Horaires3567345[[#This Row],[Date]],2)=6,MAX(0,Horaires3567345[[#This Row],[PNP Fin corrigée]]-(1+deb_dimJF)),0))*24</f>
        <v>0</v>
      </c>
      <c r="R28" s="55">
        <f>(IF(COUNTIF(JF,Horaires3567345[[#This Row],[Date]]),MAX(0,MIN(fin_dimJF,Horaires3567345[[#This Row],[Fin corrigée si nuit]])-MAX(deb_dimJF,Horaires3567345[[#This Row],[début]])),0)+IF(COUNTIF(JF,Horaires3567345[[#This Row],[Date]]+1),MAX(0,Horaires3567345[[#This Row],[Fin corrigée si nuit]]-(1+deb_dimJF)),0))*24</f>
        <v>0</v>
      </c>
      <c r="S28" s="55">
        <f>(IF(COUNTIF(JF,Horaires3567345[[#This Row],[Date]]),MAX(0,MIN(fin_dimJF,Horaires3567345[[#This Row],[Fin corrigée si nuit]])-MAX(deb_dimJF,Horaires3567345[[#This Row],[début]])),0)+IF(COUNTIF(JF,Horaires3567345[[#This Row],[Date]]+1),MAX(0,Horaires3567345[[#This Row],[Fin corrigée si nuit]]-(1+deb_dimJF)),0))*24-
(IF(COUNTIF(JF,Horaires3567345[[#This Row],[Date]]),MAX(0,MIN(fin_dimJF,Horaires3567345[[#This Row],[PNP Fin corrigée]])-MAX(deb_dimJF,Horaires3567345[[#This Row],[PNP Début corrigé]])),0)+IF(COUNTIF(JF,Horaires3567345[[#This Row],[Date]]+1),MAX(0,Horaires3567345[[#This Row],[PNP Fin corrigée]]-(1+deb_dimJF)),0))*24</f>
        <v>0</v>
      </c>
    </row>
    <row r="29" spans="1:19" x14ac:dyDescent="0.35">
      <c r="A29" s="5"/>
      <c r="B29" s="1"/>
      <c r="C29" s="2"/>
      <c r="D29" s="2"/>
      <c r="E29" s="3"/>
      <c r="F29" s="3"/>
      <c r="G29" s="3"/>
      <c r="H29" s="3"/>
      <c r="I29" s="51">
        <f>0.1*(Horaires3567345[[#This Row],[Heures de nuit]]+Horaires3567345[[#This Row],[heures jour dimanche]]+Horaires3567345[[#This Row],[heures jour fériés]])</f>
        <v>0</v>
      </c>
      <c r="J29" s="52">
        <f>(MOD(Horaires3567345[[#This Row],[Fin]]-Horaires3567345[[#This Row],[début]],1)-MOD(Horaires3567345[[#This Row],[PNP Fin]]-Horaires3567345[[#This Row],[PNP Début]],1))*24</f>
        <v>0</v>
      </c>
      <c r="K29" s="53">
        <f>IF(Horaires3567345[[#This Row],[PNP Début]]=0,0,IF(Horaires3567345[[#This Row],[PNP Début]]&lt;Horaires3567345[[#This Row],[début]],1,0)+Horaires3567345[[#This Row],[PNP Début]])</f>
        <v>0</v>
      </c>
      <c r="L29" s="54">
        <f>IF(Horaires3567345[[#This Row],[PNP Fin]]=0,0,IF(Horaires3567345[[#This Row],[PNP Fin]]&lt;Horaires3567345[[#This Row],[début]],1,0)+Horaires3567345[[#This Row],[PNP Fin]])</f>
        <v>0</v>
      </c>
      <c r="M29" s="54">
        <f>IF(Horaires3567345[[#This Row],[Fin]]&lt;Horaires3567345[[#This Row],[début]],1,0)+Horaires3567345[[#This Row],[Fin]]</f>
        <v>0</v>
      </c>
      <c r="N29" s="35">
        <f>IF(Horaires3567345[[#This Row],[Fin]]&lt;Horaires3567345[[#This Row],[début]],MAX(0,MIN(Horaires3567345[[#This Row],[Fin corrigée si nuit]],fin_nuit)-MAX(Horaires3567345[[#This Row],[début]],deb_nuit))*24,(MAX(deb_nuit,Horaires3567345[[#This Row],[Fin]])-MAX(deb_nuit,Horaires3567345[[#This Row],[début]])+MAX(MIN(fin_nuit-1,Horaires3567345[[#This Row],[Fin]])-MIN(fin_nuit-1,Horaires3567345[[#This Row],[début]]),0))*24)</f>
        <v>0</v>
      </c>
      <c r="O29" s="55">
        <f>(MAX(0,MIN(Horaires3567345[[#This Row],[Fin corrigée si nuit]],fin_nuit)-MAX(Horaires3567345[[#This Row],[début]],deb_nuit))-IF(Horaires3567345[[#This Row],[PNP Début]]=0,0,MIN(Horaires3567345[[#This Row],[PNP Fin corrigée]],fin_nuit)-MAX(Horaires3567345[[#This Row],[PNP Début corrigé]],deb_nuit)))*24</f>
        <v>0</v>
      </c>
      <c r="P29" s="55">
        <f>(IF(WEEKDAY(Horaires3567345[[#This Row],[Date]],2)=7,MAX(0,MIN(fin_dimJF,Horaires3567345[[#This Row],[Fin corrigée si nuit]])-MAX(deb_dimJF,Horaires3567345[[#This Row],[début]])),0)+IF(WEEKDAY(Horaires3567345[[#This Row],[Date]],2)=6,MAX(0,Horaires3567345[[#This Row],[Fin corrigée si nuit]]-(1+deb_dimJF)),0))*24</f>
        <v>0</v>
      </c>
      <c r="Q29" s="55">
        <f>(IF(WEEKDAY(Horaires3567345[[#This Row],[Date]],2)=7,MAX(0,MIN(fin_dimJF,Horaires3567345[[#This Row],[Fin corrigée si nuit]])-MAX(deb_dimJF,Horaires3567345[[#This Row],[début]])),0)+IF(WEEKDAY(Horaires3567345[[#This Row],[Date]],2)=6,MAX(0,Horaires3567345[[#This Row],[Fin corrigée si nuit]]-(1+deb_dimJF)),0))*24-
(IF(WEEKDAY(Horaires3567345[[#This Row],[Date]],2)=7,MAX(0,MIN(fin_dimJF,Horaires3567345[[#This Row],[PNP Fin corrigée]])-MAX(deb_dimJF,Horaires3567345[[#This Row],[PNP Début corrigé]])),0)+IF(WEEKDAY(Horaires3567345[[#This Row],[Date]],2)=6,MAX(0,Horaires3567345[[#This Row],[PNP Fin corrigée]]-(1+deb_dimJF)),0))*24</f>
        <v>0</v>
      </c>
      <c r="R29" s="55">
        <f>(IF(COUNTIF(JF,Horaires3567345[[#This Row],[Date]]),MAX(0,MIN(fin_dimJF,Horaires3567345[[#This Row],[Fin corrigée si nuit]])-MAX(deb_dimJF,Horaires3567345[[#This Row],[début]])),0)+IF(COUNTIF(JF,Horaires3567345[[#This Row],[Date]]+1),MAX(0,Horaires3567345[[#This Row],[Fin corrigée si nuit]]-(1+deb_dimJF)),0))*24</f>
        <v>0</v>
      </c>
      <c r="S29" s="55">
        <f>(IF(COUNTIF(JF,Horaires3567345[[#This Row],[Date]]),MAX(0,MIN(fin_dimJF,Horaires3567345[[#This Row],[Fin corrigée si nuit]])-MAX(deb_dimJF,Horaires3567345[[#This Row],[début]])),0)+IF(COUNTIF(JF,Horaires3567345[[#This Row],[Date]]+1),MAX(0,Horaires3567345[[#This Row],[Fin corrigée si nuit]]-(1+deb_dimJF)),0))*24-
(IF(COUNTIF(JF,Horaires3567345[[#This Row],[Date]]),MAX(0,MIN(fin_dimJF,Horaires3567345[[#This Row],[PNP Fin corrigée]])-MAX(deb_dimJF,Horaires3567345[[#This Row],[PNP Début corrigé]])),0)+IF(COUNTIF(JF,Horaires3567345[[#This Row],[Date]]+1),MAX(0,Horaires3567345[[#This Row],[PNP Fin corrigée]]-(1+deb_dimJF)),0))*24</f>
        <v>0</v>
      </c>
    </row>
    <row r="30" spans="1:19" x14ac:dyDescent="0.35">
      <c r="A30" s="5"/>
      <c r="B30" s="1"/>
      <c r="C30" s="2"/>
      <c r="D30" s="2"/>
      <c r="E30" s="3"/>
      <c r="F30" s="3"/>
      <c r="G30" s="3"/>
      <c r="H30" s="3"/>
      <c r="I30" s="51">
        <f>0.1*(Horaires3567345[[#This Row],[Heures de nuit]]+Horaires3567345[[#This Row],[heures jour dimanche]]+Horaires3567345[[#This Row],[heures jour fériés]])</f>
        <v>0</v>
      </c>
      <c r="J30" s="52">
        <f>(MOD(Horaires3567345[[#This Row],[Fin]]-Horaires3567345[[#This Row],[début]],1)-MOD(Horaires3567345[[#This Row],[PNP Fin]]-Horaires3567345[[#This Row],[PNP Début]],1))*24</f>
        <v>0</v>
      </c>
      <c r="K30" s="53">
        <f>IF(Horaires3567345[[#This Row],[PNP Début]]=0,0,IF(Horaires3567345[[#This Row],[PNP Début]]&lt;Horaires3567345[[#This Row],[début]],1,0)+Horaires3567345[[#This Row],[PNP Début]])</f>
        <v>0</v>
      </c>
      <c r="L30" s="54">
        <f>IF(Horaires3567345[[#This Row],[PNP Fin]]=0,0,IF(Horaires3567345[[#This Row],[PNP Fin]]&lt;Horaires3567345[[#This Row],[début]],1,0)+Horaires3567345[[#This Row],[PNP Fin]])</f>
        <v>0</v>
      </c>
      <c r="M30" s="54">
        <f>IF(Horaires3567345[[#This Row],[Fin]]&lt;Horaires3567345[[#This Row],[début]],1,0)+Horaires3567345[[#This Row],[Fin]]</f>
        <v>0</v>
      </c>
      <c r="N30" s="35">
        <f>IF(Horaires3567345[[#This Row],[Fin]]&lt;Horaires3567345[[#This Row],[début]],MAX(0,MIN(Horaires3567345[[#This Row],[Fin corrigée si nuit]],fin_nuit)-MAX(Horaires3567345[[#This Row],[début]],deb_nuit))*24,(MAX(deb_nuit,Horaires3567345[[#This Row],[Fin]])-MAX(deb_nuit,Horaires3567345[[#This Row],[début]])+MAX(MIN(fin_nuit-1,Horaires3567345[[#This Row],[Fin]])-MIN(fin_nuit-1,Horaires3567345[[#This Row],[début]]),0))*24)</f>
        <v>0</v>
      </c>
      <c r="O30" s="55">
        <f>(MAX(0,MIN(Horaires3567345[[#This Row],[Fin corrigée si nuit]],fin_nuit)-MAX(Horaires3567345[[#This Row],[début]],deb_nuit))-IF(Horaires3567345[[#This Row],[PNP Début]]=0,0,MIN(Horaires3567345[[#This Row],[PNP Fin corrigée]],fin_nuit)-MAX(Horaires3567345[[#This Row],[PNP Début corrigé]],deb_nuit)))*24</f>
        <v>0</v>
      </c>
      <c r="P30" s="55">
        <f>(IF(WEEKDAY(Horaires3567345[[#This Row],[Date]],2)=7,MAX(0,MIN(fin_dimJF,Horaires3567345[[#This Row],[Fin corrigée si nuit]])-MAX(deb_dimJF,Horaires3567345[[#This Row],[début]])),0)+IF(WEEKDAY(Horaires3567345[[#This Row],[Date]],2)=6,MAX(0,Horaires3567345[[#This Row],[Fin corrigée si nuit]]-(1+deb_dimJF)),0))*24</f>
        <v>0</v>
      </c>
      <c r="Q30" s="55">
        <f>(IF(WEEKDAY(Horaires3567345[[#This Row],[Date]],2)=7,MAX(0,MIN(fin_dimJF,Horaires3567345[[#This Row],[Fin corrigée si nuit]])-MAX(deb_dimJF,Horaires3567345[[#This Row],[début]])),0)+IF(WEEKDAY(Horaires3567345[[#This Row],[Date]],2)=6,MAX(0,Horaires3567345[[#This Row],[Fin corrigée si nuit]]-(1+deb_dimJF)),0))*24-
(IF(WEEKDAY(Horaires3567345[[#This Row],[Date]],2)=7,MAX(0,MIN(fin_dimJF,Horaires3567345[[#This Row],[PNP Fin corrigée]])-MAX(deb_dimJF,Horaires3567345[[#This Row],[PNP Début corrigé]])),0)+IF(WEEKDAY(Horaires3567345[[#This Row],[Date]],2)=6,MAX(0,Horaires3567345[[#This Row],[PNP Fin corrigée]]-(1+deb_dimJF)),0))*24</f>
        <v>0</v>
      </c>
      <c r="R30" s="55">
        <f>(IF(COUNTIF(JF,Horaires3567345[[#This Row],[Date]]),MAX(0,MIN(fin_dimJF,Horaires3567345[[#This Row],[Fin corrigée si nuit]])-MAX(deb_dimJF,Horaires3567345[[#This Row],[début]])),0)+IF(COUNTIF(JF,Horaires3567345[[#This Row],[Date]]+1),MAX(0,Horaires3567345[[#This Row],[Fin corrigée si nuit]]-(1+deb_dimJF)),0))*24</f>
        <v>0</v>
      </c>
      <c r="S30" s="55">
        <f>(IF(COUNTIF(JF,Horaires3567345[[#This Row],[Date]]),MAX(0,MIN(fin_dimJF,Horaires3567345[[#This Row],[Fin corrigée si nuit]])-MAX(deb_dimJF,Horaires3567345[[#This Row],[début]])),0)+IF(COUNTIF(JF,Horaires3567345[[#This Row],[Date]]+1),MAX(0,Horaires3567345[[#This Row],[Fin corrigée si nuit]]-(1+deb_dimJF)),0))*24-
(IF(COUNTIF(JF,Horaires3567345[[#This Row],[Date]]),MAX(0,MIN(fin_dimJF,Horaires3567345[[#This Row],[PNP Fin corrigée]])-MAX(deb_dimJF,Horaires3567345[[#This Row],[PNP Début corrigé]])),0)+IF(COUNTIF(JF,Horaires3567345[[#This Row],[Date]]+1),MAX(0,Horaires3567345[[#This Row],[PNP Fin corrigée]]-(1+deb_dimJF)),0))*24</f>
        <v>0</v>
      </c>
    </row>
    <row r="31" spans="1:19" x14ac:dyDescent="0.35">
      <c r="A31" s="5"/>
      <c r="B31" s="1"/>
      <c r="C31" s="2"/>
      <c r="D31" s="2"/>
      <c r="E31" s="3"/>
      <c r="F31" s="3"/>
      <c r="G31" s="3"/>
      <c r="H31" s="3"/>
      <c r="I31" s="51">
        <f>0.1*(Horaires3567345[[#This Row],[Heures de nuit]]+Horaires3567345[[#This Row],[heures jour dimanche]]+Horaires3567345[[#This Row],[heures jour fériés]])</f>
        <v>0</v>
      </c>
      <c r="J31" s="52">
        <f>(MOD(Horaires3567345[[#This Row],[Fin]]-Horaires3567345[[#This Row],[début]],1)-MOD(Horaires3567345[[#This Row],[PNP Fin]]-Horaires3567345[[#This Row],[PNP Début]],1))*24</f>
        <v>0</v>
      </c>
      <c r="K31" s="53">
        <f>IF(Horaires3567345[[#This Row],[PNP Début]]=0,0,IF(Horaires3567345[[#This Row],[PNP Début]]&lt;Horaires3567345[[#This Row],[début]],1,0)+Horaires3567345[[#This Row],[PNP Début]])</f>
        <v>0</v>
      </c>
      <c r="L31" s="54">
        <f>IF(Horaires3567345[[#This Row],[PNP Fin]]=0,0,IF(Horaires3567345[[#This Row],[PNP Fin]]&lt;Horaires3567345[[#This Row],[début]],1,0)+Horaires3567345[[#This Row],[PNP Fin]])</f>
        <v>0</v>
      </c>
      <c r="M31" s="54">
        <f>IF(Horaires3567345[[#This Row],[Fin]]&lt;Horaires3567345[[#This Row],[début]],1,0)+Horaires3567345[[#This Row],[Fin]]</f>
        <v>0</v>
      </c>
      <c r="N31" s="35">
        <f>IF(Horaires3567345[[#This Row],[Fin]]&lt;Horaires3567345[[#This Row],[début]],MAX(0,MIN(Horaires3567345[[#This Row],[Fin corrigée si nuit]],fin_nuit)-MAX(Horaires3567345[[#This Row],[début]],deb_nuit))*24,(MAX(deb_nuit,Horaires3567345[[#This Row],[Fin]])-MAX(deb_nuit,Horaires3567345[[#This Row],[début]])+MAX(MIN(fin_nuit-1,Horaires3567345[[#This Row],[Fin]])-MIN(fin_nuit-1,Horaires3567345[[#This Row],[début]]),0))*24)</f>
        <v>0</v>
      </c>
      <c r="O31" s="55">
        <f>(MAX(0,MIN(Horaires3567345[[#This Row],[Fin corrigée si nuit]],fin_nuit)-MAX(Horaires3567345[[#This Row],[début]],deb_nuit))-IF(Horaires3567345[[#This Row],[PNP Début]]=0,0,MIN(Horaires3567345[[#This Row],[PNP Fin corrigée]],fin_nuit)-MAX(Horaires3567345[[#This Row],[PNP Début corrigé]],deb_nuit)))*24</f>
        <v>0</v>
      </c>
      <c r="P31" s="55">
        <f>(IF(WEEKDAY(Horaires3567345[[#This Row],[Date]],2)=7,MAX(0,MIN(fin_dimJF,Horaires3567345[[#This Row],[Fin corrigée si nuit]])-MAX(deb_dimJF,Horaires3567345[[#This Row],[début]])),0)+IF(WEEKDAY(Horaires3567345[[#This Row],[Date]],2)=6,MAX(0,Horaires3567345[[#This Row],[Fin corrigée si nuit]]-(1+deb_dimJF)),0))*24</f>
        <v>0</v>
      </c>
      <c r="Q31" s="55">
        <f>(IF(WEEKDAY(Horaires3567345[[#This Row],[Date]],2)=7,MAX(0,MIN(fin_dimJF,Horaires3567345[[#This Row],[Fin corrigée si nuit]])-MAX(deb_dimJF,Horaires3567345[[#This Row],[début]])),0)+IF(WEEKDAY(Horaires3567345[[#This Row],[Date]],2)=6,MAX(0,Horaires3567345[[#This Row],[Fin corrigée si nuit]]-(1+deb_dimJF)),0))*24-
(IF(WEEKDAY(Horaires3567345[[#This Row],[Date]],2)=7,MAX(0,MIN(fin_dimJF,Horaires3567345[[#This Row],[PNP Fin corrigée]])-MAX(deb_dimJF,Horaires3567345[[#This Row],[PNP Début corrigé]])),0)+IF(WEEKDAY(Horaires3567345[[#This Row],[Date]],2)=6,MAX(0,Horaires3567345[[#This Row],[PNP Fin corrigée]]-(1+deb_dimJF)),0))*24</f>
        <v>0</v>
      </c>
      <c r="R31" s="55">
        <f>(IF(COUNTIF(JF,Horaires3567345[[#This Row],[Date]]),MAX(0,MIN(fin_dimJF,Horaires3567345[[#This Row],[Fin corrigée si nuit]])-MAX(deb_dimJF,Horaires3567345[[#This Row],[début]])),0)+IF(COUNTIF(JF,Horaires3567345[[#This Row],[Date]]+1),MAX(0,Horaires3567345[[#This Row],[Fin corrigée si nuit]]-(1+deb_dimJF)),0))*24</f>
        <v>0</v>
      </c>
      <c r="S31" s="55">
        <f>(IF(COUNTIF(JF,Horaires3567345[[#This Row],[Date]]),MAX(0,MIN(fin_dimJF,Horaires3567345[[#This Row],[Fin corrigée si nuit]])-MAX(deb_dimJF,Horaires3567345[[#This Row],[début]])),0)+IF(COUNTIF(JF,Horaires3567345[[#This Row],[Date]]+1),MAX(0,Horaires3567345[[#This Row],[Fin corrigée si nuit]]-(1+deb_dimJF)),0))*24-
(IF(COUNTIF(JF,Horaires3567345[[#This Row],[Date]]),MAX(0,MIN(fin_dimJF,Horaires3567345[[#This Row],[PNP Fin corrigée]])-MAX(deb_dimJF,Horaires3567345[[#This Row],[PNP Début corrigé]])),0)+IF(COUNTIF(JF,Horaires3567345[[#This Row],[Date]]+1),MAX(0,Horaires3567345[[#This Row],[PNP Fin corrigée]]-(1+deb_dimJF)),0))*24</f>
        <v>0</v>
      </c>
    </row>
    <row r="32" spans="1:19" ht="14.5" customHeight="1" x14ac:dyDescent="0.35">
      <c r="A32" s="5"/>
      <c r="B32" s="1"/>
      <c r="C32" s="2"/>
      <c r="D32" s="2"/>
      <c r="E32" s="3"/>
      <c r="F32" s="3"/>
      <c r="G32" s="3"/>
      <c r="H32" s="3"/>
      <c r="I32" s="51">
        <f>0.1*(Horaires3567345[[#This Row],[Heures de nuit]]+Horaires3567345[[#This Row],[heures jour dimanche]]+Horaires3567345[[#This Row],[heures jour fériés]])</f>
        <v>0</v>
      </c>
      <c r="J32" s="52">
        <f>(MOD(Horaires3567345[[#This Row],[Fin]]-Horaires3567345[[#This Row],[début]],1)-MOD(Horaires3567345[[#This Row],[PNP Fin]]-Horaires3567345[[#This Row],[PNP Début]],1))*24</f>
        <v>0</v>
      </c>
      <c r="K32" s="53">
        <f>IF(Horaires3567345[[#This Row],[PNP Début]]=0,0,IF(Horaires3567345[[#This Row],[PNP Début]]&lt;Horaires3567345[[#This Row],[début]],1,0)+Horaires3567345[[#This Row],[PNP Début]])</f>
        <v>0</v>
      </c>
      <c r="L32" s="54">
        <f>IF(Horaires3567345[[#This Row],[PNP Fin]]=0,0,IF(Horaires3567345[[#This Row],[PNP Fin]]&lt;Horaires3567345[[#This Row],[début]],1,0)+Horaires3567345[[#This Row],[PNP Fin]])</f>
        <v>0</v>
      </c>
      <c r="M32" s="54">
        <f>IF(Horaires3567345[[#This Row],[Fin]]&lt;Horaires3567345[[#This Row],[début]],1,0)+Horaires3567345[[#This Row],[Fin]]</f>
        <v>0</v>
      </c>
      <c r="N32" s="35">
        <f>IF(Horaires3567345[[#This Row],[Fin]]&lt;Horaires3567345[[#This Row],[début]],MAX(0,MIN(Horaires3567345[[#This Row],[Fin corrigée si nuit]],fin_nuit)-MAX(Horaires3567345[[#This Row],[début]],deb_nuit))*24,(MAX(deb_nuit,Horaires3567345[[#This Row],[Fin]])-MAX(deb_nuit,Horaires3567345[[#This Row],[début]])+MAX(MIN(fin_nuit-1,Horaires3567345[[#This Row],[Fin]])-MIN(fin_nuit-1,Horaires3567345[[#This Row],[début]]),0))*24)</f>
        <v>0</v>
      </c>
      <c r="O32" s="55">
        <f>(MAX(0,MIN(Horaires3567345[[#This Row],[Fin corrigée si nuit]],fin_nuit)-MAX(Horaires3567345[[#This Row],[début]],deb_nuit))-IF(Horaires3567345[[#This Row],[PNP Début]]=0,0,MIN(Horaires3567345[[#This Row],[PNP Fin corrigée]],fin_nuit)-MAX(Horaires3567345[[#This Row],[PNP Début corrigé]],deb_nuit)))*24</f>
        <v>0</v>
      </c>
      <c r="P32" s="55">
        <f>(IF(WEEKDAY(Horaires3567345[[#This Row],[Date]],2)=7,MAX(0,MIN(fin_dimJF,Horaires3567345[[#This Row],[Fin corrigée si nuit]])-MAX(deb_dimJF,Horaires3567345[[#This Row],[début]])),0)+IF(WEEKDAY(Horaires3567345[[#This Row],[Date]],2)=6,MAX(0,Horaires3567345[[#This Row],[Fin corrigée si nuit]]-(1+deb_dimJF)),0))*24</f>
        <v>0</v>
      </c>
      <c r="Q32" s="55">
        <f>(IF(WEEKDAY(Horaires3567345[[#This Row],[Date]],2)=7,MAX(0,MIN(fin_dimJF,Horaires3567345[[#This Row],[Fin corrigée si nuit]])-MAX(deb_dimJF,Horaires3567345[[#This Row],[début]])),0)+IF(WEEKDAY(Horaires3567345[[#This Row],[Date]],2)=6,MAX(0,Horaires3567345[[#This Row],[Fin corrigée si nuit]]-(1+deb_dimJF)),0))*24-
(IF(WEEKDAY(Horaires3567345[[#This Row],[Date]],2)=7,MAX(0,MIN(fin_dimJF,Horaires3567345[[#This Row],[PNP Fin corrigée]])-MAX(deb_dimJF,Horaires3567345[[#This Row],[PNP Début corrigé]])),0)+IF(WEEKDAY(Horaires3567345[[#This Row],[Date]],2)=6,MAX(0,Horaires3567345[[#This Row],[PNP Fin corrigée]]-(1+deb_dimJF)),0))*24</f>
        <v>0</v>
      </c>
      <c r="R32" s="55">
        <f>(IF(COUNTIF(JF,Horaires3567345[[#This Row],[Date]]),MAX(0,MIN(fin_dimJF,Horaires3567345[[#This Row],[Fin corrigée si nuit]])-MAX(deb_dimJF,Horaires3567345[[#This Row],[début]])),0)+IF(COUNTIF(JF,Horaires3567345[[#This Row],[Date]]+1),MAX(0,Horaires3567345[[#This Row],[Fin corrigée si nuit]]-(1+deb_dimJF)),0))*24</f>
        <v>0</v>
      </c>
      <c r="S32" s="55">
        <f>(IF(COUNTIF(JF,Horaires3567345[[#This Row],[Date]]),MAX(0,MIN(fin_dimJF,Horaires3567345[[#This Row],[Fin corrigée si nuit]])-MAX(deb_dimJF,Horaires3567345[[#This Row],[début]])),0)+IF(COUNTIF(JF,Horaires3567345[[#This Row],[Date]]+1),MAX(0,Horaires3567345[[#This Row],[Fin corrigée si nuit]]-(1+deb_dimJF)),0))*24-
(IF(COUNTIF(JF,Horaires3567345[[#This Row],[Date]]),MAX(0,MIN(fin_dimJF,Horaires3567345[[#This Row],[PNP Fin corrigée]])-MAX(deb_dimJF,Horaires3567345[[#This Row],[PNP Début corrigé]])),0)+IF(COUNTIF(JF,Horaires3567345[[#This Row],[Date]]+1),MAX(0,Horaires3567345[[#This Row],[PNP Fin corrigée]]-(1+deb_dimJF)),0))*24</f>
        <v>0</v>
      </c>
    </row>
    <row r="33" spans="1:19" x14ac:dyDescent="0.35">
      <c r="A33" s="5"/>
      <c r="B33" s="1"/>
      <c r="C33" s="2"/>
      <c r="D33" s="2"/>
      <c r="E33" s="3"/>
      <c r="F33" s="3"/>
      <c r="G33" s="3"/>
      <c r="H33" s="3"/>
      <c r="I33" s="51">
        <f>0.1*(Horaires3567345[[#This Row],[Heures de nuit]]+Horaires3567345[[#This Row],[heures jour dimanche]]+Horaires3567345[[#This Row],[heures jour fériés]])</f>
        <v>0</v>
      </c>
      <c r="J33" s="52">
        <f>(MOD(Horaires3567345[[#This Row],[Fin]]-Horaires3567345[[#This Row],[début]],1)-MOD(Horaires3567345[[#This Row],[PNP Fin]]-Horaires3567345[[#This Row],[PNP Début]],1))*24</f>
        <v>0</v>
      </c>
      <c r="K33" s="53">
        <f>IF(Horaires3567345[[#This Row],[PNP Début]]=0,0,IF(Horaires3567345[[#This Row],[PNP Début]]&lt;Horaires3567345[[#This Row],[début]],1,0)+Horaires3567345[[#This Row],[PNP Début]])</f>
        <v>0</v>
      </c>
      <c r="L33" s="54">
        <f>IF(Horaires3567345[[#This Row],[PNP Fin]]=0,0,IF(Horaires3567345[[#This Row],[PNP Fin]]&lt;Horaires3567345[[#This Row],[début]],1,0)+Horaires3567345[[#This Row],[PNP Fin]])</f>
        <v>0</v>
      </c>
      <c r="M33" s="54">
        <f>IF(Horaires3567345[[#This Row],[Fin]]&lt;Horaires3567345[[#This Row],[début]],1,0)+Horaires3567345[[#This Row],[Fin]]</f>
        <v>0</v>
      </c>
      <c r="N33" s="35">
        <f>IF(Horaires3567345[[#This Row],[Fin]]&lt;Horaires3567345[[#This Row],[début]],MAX(0,MIN(Horaires3567345[[#This Row],[Fin corrigée si nuit]],fin_nuit)-MAX(Horaires3567345[[#This Row],[début]],deb_nuit))*24,(MAX(deb_nuit,Horaires3567345[[#This Row],[Fin]])-MAX(deb_nuit,Horaires3567345[[#This Row],[début]])+MAX(MIN(fin_nuit-1,Horaires3567345[[#This Row],[Fin]])-MIN(fin_nuit-1,Horaires3567345[[#This Row],[début]]),0))*24)</f>
        <v>0</v>
      </c>
      <c r="O33" s="55">
        <f>(MAX(0,MIN(Horaires3567345[[#This Row],[Fin corrigée si nuit]],fin_nuit)-MAX(Horaires3567345[[#This Row],[début]],deb_nuit))-IF(Horaires3567345[[#This Row],[PNP Début]]=0,0,MIN(Horaires3567345[[#This Row],[PNP Fin corrigée]],fin_nuit)-MAX(Horaires3567345[[#This Row],[PNP Début corrigé]],deb_nuit)))*24</f>
        <v>0</v>
      </c>
      <c r="P33" s="55">
        <f>(IF(WEEKDAY(Horaires3567345[[#This Row],[Date]],2)=7,MAX(0,MIN(fin_dimJF,Horaires3567345[[#This Row],[Fin corrigée si nuit]])-MAX(deb_dimJF,Horaires3567345[[#This Row],[début]])),0)+IF(WEEKDAY(Horaires3567345[[#This Row],[Date]],2)=6,MAX(0,Horaires3567345[[#This Row],[Fin corrigée si nuit]]-(1+deb_dimJF)),0))*24</f>
        <v>0</v>
      </c>
      <c r="Q33" s="55">
        <f>(IF(WEEKDAY(Horaires3567345[[#This Row],[Date]],2)=7,MAX(0,MIN(fin_dimJF,Horaires3567345[[#This Row],[Fin corrigée si nuit]])-MAX(deb_dimJF,Horaires3567345[[#This Row],[début]])),0)+IF(WEEKDAY(Horaires3567345[[#This Row],[Date]],2)=6,MAX(0,Horaires3567345[[#This Row],[Fin corrigée si nuit]]-(1+deb_dimJF)),0))*24-
(IF(WEEKDAY(Horaires3567345[[#This Row],[Date]],2)=7,MAX(0,MIN(fin_dimJF,Horaires3567345[[#This Row],[PNP Fin corrigée]])-MAX(deb_dimJF,Horaires3567345[[#This Row],[PNP Début corrigé]])),0)+IF(WEEKDAY(Horaires3567345[[#This Row],[Date]],2)=6,MAX(0,Horaires3567345[[#This Row],[PNP Fin corrigée]]-(1+deb_dimJF)),0))*24</f>
        <v>0</v>
      </c>
      <c r="R33" s="55">
        <f>(IF(COUNTIF(JF,Horaires3567345[[#This Row],[Date]]),MAX(0,MIN(fin_dimJF,Horaires3567345[[#This Row],[Fin corrigée si nuit]])-MAX(deb_dimJF,Horaires3567345[[#This Row],[début]])),0)+IF(COUNTIF(JF,Horaires3567345[[#This Row],[Date]]+1),MAX(0,Horaires3567345[[#This Row],[Fin corrigée si nuit]]-(1+deb_dimJF)),0))*24</f>
        <v>0</v>
      </c>
      <c r="S33" s="55">
        <f>(IF(COUNTIF(JF,Horaires3567345[[#This Row],[Date]]),MAX(0,MIN(fin_dimJF,Horaires3567345[[#This Row],[Fin corrigée si nuit]])-MAX(deb_dimJF,Horaires3567345[[#This Row],[début]])),0)+IF(COUNTIF(JF,Horaires3567345[[#This Row],[Date]]+1),MAX(0,Horaires3567345[[#This Row],[Fin corrigée si nuit]]-(1+deb_dimJF)),0))*24-
(IF(COUNTIF(JF,Horaires3567345[[#This Row],[Date]]),MAX(0,MIN(fin_dimJF,Horaires3567345[[#This Row],[PNP Fin corrigée]])-MAX(deb_dimJF,Horaires3567345[[#This Row],[PNP Début corrigé]])),0)+IF(COUNTIF(JF,Horaires3567345[[#This Row],[Date]]+1),MAX(0,Horaires3567345[[#This Row],[PNP Fin corrigée]]-(1+deb_dimJF)),0))*24</f>
        <v>0</v>
      </c>
    </row>
    <row r="34" spans="1:19" x14ac:dyDescent="0.35">
      <c r="A34" s="5"/>
      <c r="B34" s="1"/>
      <c r="C34" s="2"/>
      <c r="D34" s="2"/>
      <c r="E34" s="3"/>
      <c r="F34" s="3"/>
      <c r="G34" s="3"/>
      <c r="H34" s="3"/>
      <c r="I34" s="51">
        <f>0.1*(Horaires3567345[[#This Row],[Heures de nuit]]+Horaires3567345[[#This Row],[heures jour dimanche]]+Horaires3567345[[#This Row],[heures jour fériés]])</f>
        <v>0</v>
      </c>
      <c r="J34" s="52">
        <f>(MOD(Horaires3567345[[#This Row],[Fin]]-Horaires3567345[[#This Row],[début]],1)-MOD(Horaires3567345[[#This Row],[PNP Fin]]-Horaires3567345[[#This Row],[PNP Début]],1))*24</f>
        <v>0</v>
      </c>
      <c r="K34" s="53">
        <f>IF(Horaires3567345[[#This Row],[PNP Début]]=0,0,IF(Horaires3567345[[#This Row],[PNP Début]]&lt;Horaires3567345[[#This Row],[début]],1,0)+Horaires3567345[[#This Row],[PNP Début]])</f>
        <v>0</v>
      </c>
      <c r="L34" s="54">
        <f>IF(Horaires3567345[[#This Row],[PNP Fin]]=0,0,IF(Horaires3567345[[#This Row],[PNP Fin]]&lt;Horaires3567345[[#This Row],[début]],1,0)+Horaires3567345[[#This Row],[PNP Fin]])</f>
        <v>0</v>
      </c>
      <c r="M34" s="54">
        <f>IF(Horaires3567345[[#This Row],[Fin]]&lt;Horaires3567345[[#This Row],[début]],1,0)+Horaires3567345[[#This Row],[Fin]]</f>
        <v>0</v>
      </c>
      <c r="N34" s="35">
        <f>IF(Horaires3567345[[#This Row],[Fin]]&lt;Horaires3567345[[#This Row],[début]],MAX(0,MIN(Horaires3567345[[#This Row],[Fin corrigée si nuit]],fin_nuit)-MAX(Horaires3567345[[#This Row],[début]],deb_nuit))*24,(MAX(deb_nuit,Horaires3567345[[#This Row],[Fin]])-MAX(deb_nuit,Horaires3567345[[#This Row],[début]])+MAX(MIN(fin_nuit-1,Horaires3567345[[#This Row],[Fin]])-MIN(fin_nuit-1,Horaires3567345[[#This Row],[début]]),0))*24)</f>
        <v>0</v>
      </c>
      <c r="O34" s="55">
        <f>(MAX(0,MIN(Horaires3567345[[#This Row],[Fin corrigée si nuit]],fin_nuit)-MAX(Horaires3567345[[#This Row],[début]],deb_nuit))-IF(Horaires3567345[[#This Row],[PNP Début]]=0,0,MIN(Horaires3567345[[#This Row],[PNP Fin corrigée]],fin_nuit)-MAX(Horaires3567345[[#This Row],[PNP Début corrigé]],deb_nuit)))*24</f>
        <v>0</v>
      </c>
      <c r="P34" s="55">
        <f>(IF(WEEKDAY(Horaires3567345[[#This Row],[Date]],2)=7,MAX(0,MIN(fin_dimJF,Horaires3567345[[#This Row],[Fin corrigée si nuit]])-MAX(deb_dimJF,Horaires3567345[[#This Row],[début]])),0)+IF(WEEKDAY(Horaires3567345[[#This Row],[Date]],2)=6,MAX(0,Horaires3567345[[#This Row],[Fin corrigée si nuit]]-(1+deb_dimJF)),0))*24</f>
        <v>0</v>
      </c>
      <c r="Q34" s="55">
        <f>(IF(WEEKDAY(Horaires3567345[[#This Row],[Date]],2)=7,MAX(0,MIN(fin_dimJF,Horaires3567345[[#This Row],[Fin corrigée si nuit]])-MAX(deb_dimJF,Horaires3567345[[#This Row],[début]])),0)+IF(WEEKDAY(Horaires3567345[[#This Row],[Date]],2)=6,MAX(0,Horaires3567345[[#This Row],[Fin corrigée si nuit]]-(1+deb_dimJF)),0))*24-
(IF(WEEKDAY(Horaires3567345[[#This Row],[Date]],2)=7,MAX(0,MIN(fin_dimJF,Horaires3567345[[#This Row],[PNP Fin corrigée]])-MAX(deb_dimJF,Horaires3567345[[#This Row],[PNP Début corrigé]])),0)+IF(WEEKDAY(Horaires3567345[[#This Row],[Date]],2)=6,MAX(0,Horaires3567345[[#This Row],[PNP Fin corrigée]]-(1+deb_dimJF)),0))*24</f>
        <v>0</v>
      </c>
      <c r="R34" s="55">
        <f>(IF(COUNTIF(JF,Horaires3567345[[#This Row],[Date]]),MAX(0,MIN(fin_dimJF,Horaires3567345[[#This Row],[Fin corrigée si nuit]])-MAX(deb_dimJF,Horaires3567345[[#This Row],[début]])),0)+IF(COUNTIF(JF,Horaires3567345[[#This Row],[Date]]+1),MAX(0,Horaires3567345[[#This Row],[Fin corrigée si nuit]]-(1+deb_dimJF)),0))*24</f>
        <v>0</v>
      </c>
      <c r="S34" s="55">
        <f>(IF(COUNTIF(JF,Horaires3567345[[#This Row],[Date]]),MAX(0,MIN(fin_dimJF,Horaires3567345[[#This Row],[Fin corrigée si nuit]])-MAX(deb_dimJF,Horaires3567345[[#This Row],[début]])),0)+IF(COUNTIF(JF,Horaires3567345[[#This Row],[Date]]+1),MAX(0,Horaires3567345[[#This Row],[Fin corrigée si nuit]]-(1+deb_dimJF)),0))*24-
(IF(COUNTIF(JF,Horaires3567345[[#This Row],[Date]]),MAX(0,MIN(fin_dimJF,Horaires3567345[[#This Row],[PNP Fin corrigée]])-MAX(deb_dimJF,Horaires3567345[[#This Row],[PNP Début corrigé]])),0)+IF(COUNTIF(JF,Horaires3567345[[#This Row],[Date]]+1),MAX(0,Horaires3567345[[#This Row],[PNP Fin corrigée]]-(1+deb_dimJF)),0))*24</f>
        <v>0</v>
      </c>
    </row>
    <row r="35" spans="1:19" x14ac:dyDescent="0.35">
      <c r="A35" s="5"/>
      <c r="B35" s="1"/>
      <c r="C35" s="2"/>
      <c r="D35" s="2"/>
      <c r="E35" s="3"/>
      <c r="F35" s="3"/>
      <c r="G35" s="3"/>
      <c r="H35" s="3"/>
      <c r="I35" s="51">
        <f>0.1*(Horaires3567345[[#This Row],[Heures de nuit]]+Horaires3567345[[#This Row],[heures jour dimanche]]+Horaires3567345[[#This Row],[heures jour fériés]])</f>
        <v>0</v>
      </c>
      <c r="J35" s="52">
        <f>(MOD(Horaires3567345[[#This Row],[Fin]]-Horaires3567345[[#This Row],[début]],1)-MOD(Horaires3567345[[#This Row],[PNP Fin]]-Horaires3567345[[#This Row],[PNP Début]],1))*24</f>
        <v>0</v>
      </c>
      <c r="K35" s="53">
        <f>IF(Horaires3567345[[#This Row],[PNP Début]]=0,0,IF(Horaires3567345[[#This Row],[PNP Début]]&lt;Horaires3567345[[#This Row],[début]],1,0)+Horaires3567345[[#This Row],[PNP Début]])</f>
        <v>0</v>
      </c>
      <c r="L35" s="54">
        <f>IF(Horaires3567345[[#This Row],[PNP Fin]]=0,0,IF(Horaires3567345[[#This Row],[PNP Fin]]&lt;Horaires3567345[[#This Row],[début]],1,0)+Horaires3567345[[#This Row],[PNP Fin]])</f>
        <v>0</v>
      </c>
      <c r="M35" s="54">
        <f>IF(Horaires3567345[[#This Row],[Fin]]&lt;Horaires3567345[[#This Row],[début]],1,0)+Horaires3567345[[#This Row],[Fin]]</f>
        <v>0</v>
      </c>
      <c r="N35" s="35">
        <f>IF(Horaires3567345[[#This Row],[Fin]]&lt;Horaires3567345[[#This Row],[début]],MAX(0,MIN(Horaires3567345[[#This Row],[Fin corrigée si nuit]],fin_nuit)-MAX(Horaires3567345[[#This Row],[début]],deb_nuit))*24,(MAX(deb_nuit,Horaires3567345[[#This Row],[Fin]])-MAX(deb_nuit,Horaires3567345[[#This Row],[début]])+MAX(MIN(fin_nuit-1,Horaires3567345[[#This Row],[Fin]])-MIN(fin_nuit-1,Horaires3567345[[#This Row],[début]]),0))*24)</f>
        <v>0</v>
      </c>
      <c r="O35" s="55">
        <f>(MAX(0,MIN(Horaires3567345[[#This Row],[Fin corrigée si nuit]],fin_nuit)-MAX(Horaires3567345[[#This Row],[début]],deb_nuit))-IF(Horaires3567345[[#This Row],[PNP Début]]=0,0,MIN(Horaires3567345[[#This Row],[PNP Fin corrigée]],fin_nuit)-MAX(Horaires3567345[[#This Row],[PNP Début corrigé]],deb_nuit)))*24</f>
        <v>0</v>
      </c>
      <c r="P35" s="55">
        <f>(IF(WEEKDAY(Horaires3567345[[#This Row],[Date]],2)=7,MAX(0,MIN(fin_dimJF,Horaires3567345[[#This Row],[Fin corrigée si nuit]])-MAX(deb_dimJF,Horaires3567345[[#This Row],[début]])),0)+IF(WEEKDAY(Horaires3567345[[#This Row],[Date]],2)=6,MAX(0,Horaires3567345[[#This Row],[Fin corrigée si nuit]]-(1+deb_dimJF)),0))*24</f>
        <v>0</v>
      </c>
      <c r="Q35" s="55">
        <f>(IF(WEEKDAY(Horaires3567345[[#This Row],[Date]],2)=7,MAX(0,MIN(fin_dimJF,Horaires3567345[[#This Row],[Fin corrigée si nuit]])-MAX(deb_dimJF,Horaires3567345[[#This Row],[début]])),0)+IF(WEEKDAY(Horaires3567345[[#This Row],[Date]],2)=6,MAX(0,Horaires3567345[[#This Row],[Fin corrigée si nuit]]-(1+deb_dimJF)),0))*24-
(IF(WEEKDAY(Horaires3567345[[#This Row],[Date]],2)=7,MAX(0,MIN(fin_dimJF,Horaires3567345[[#This Row],[PNP Fin corrigée]])-MAX(deb_dimJF,Horaires3567345[[#This Row],[PNP Début corrigé]])),0)+IF(WEEKDAY(Horaires3567345[[#This Row],[Date]],2)=6,MAX(0,Horaires3567345[[#This Row],[PNP Fin corrigée]]-(1+deb_dimJF)),0))*24</f>
        <v>0</v>
      </c>
      <c r="R35" s="55">
        <f>(IF(COUNTIF(JF,Horaires3567345[[#This Row],[Date]]),MAX(0,MIN(fin_dimJF,Horaires3567345[[#This Row],[Fin corrigée si nuit]])-MAX(deb_dimJF,Horaires3567345[[#This Row],[début]])),0)+IF(COUNTIF(JF,Horaires3567345[[#This Row],[Date]]+1),MAX(0,Horaires3567345[[#This Row],[Fin corrigée si nuit]]-(1+deb_dimJF)),0))*24</f>
        <v>0</v>
      </c>
      <c r="S35" s="55">
        <f>(IF(COUNTIF(JF,Horaires3567345[[#This Row],[Date]]),MAX(0,MIN(fin_dimJF,Horaires3567345[[#This Row],[Fin corrigée si nuit]])-MAX(deb_dimJF,Horaires3567345[[#This Row],[début]])),0)+IF(COUNTIF(JF,Horaires3567345[[#This Row],[Date]]+1),MAX(0,Horaires3567345[[#This Row],[Fin corrigée si nuit]]-(1+deb_dimJF)),0))*24-
(IF(COUNTIF(JF,Horaires3567345[[#This Row],[Date]]),MAX(0,MIN(fin_dimJF,Horaires3567345[[#This Row],[PNP Fin corrigée]])-MAX(deb_dimJF,Horaires3567345[[#This Row],[PNP Début corrigé]])),0)+IF(COUNTIF(JF,Horaires3567345[[#This Row],[Date]]+1),MAX(0,Horaires3567345[[#This Row],[PNP Fin corrigée]]-(1+deb_dimJF)),0))*24</f>
        <v>0</v>
      </c>
    </row>
    <row r="36" spans="1:19" x14ac:dyDescent="0.35">
      <c r="A36" s="5"/>
      <c r="B36" s="1"/>
      <c r="C36" s="2"/>
      <c r="D36" s="2"/>
      <c r="E36" s="3"/>
      <c r="F36" s="3"/>
      <c r="G36" s="3"/>
      <c r="H36" s="3"/>
      <c r="I36" s="51">
        <f>0.1*(Horaires3567345[[#This Row],[Heures de nuit]]+Horaires3567345[[#This Row],[heures jour dimanche]]+Horaires3567345[[#This Row],[heures jour fériés]])</f>
        <v>0</v>
      </c>
      <c r="J36" s="52">
        <f>(MOD(Horaires3567345[[#This Row],[Fin]]-Horaires3567345[[#This Row],[début]],1)-MOD(Horaires3567345[[#This Row],[PNP Fin]]-Horaires3567345[[#This Row],[PNP Début]],1))*24</f>
        <v>0</v>
      </c>
      <c r="K36" s="53">
        <f>IF(Horaires3567345[[#This Row],[PNP Début]]=0,0,IF(Horaires3567345[[#This Row],[PNP Début]]&lt;Horaires3567345[[#This Row],[début]],1,0)+Horaires3567345[[#This Row],[PNP Début]])</f>
        <v>0</v>
      </c>
      <c r="L36" s="54">
        <f>IF(Horaires3567345[[#This Row],[PNP Fin]]=0,0,IF(Horaires3567345[[#This Row],[PNP Fin]]&lt;Horaires3567345[[#This Row],[début]],1,0)+Horaires3567345[[#This Row],[PNP Fin]])</f>
        <v>0</v>
      </c>
      <c r="M36" s="54">
        <f>IF(Horaires3567345[[#This Row],[Fin]]&lt;Horaires3567345[[#This Row],[début]],1,0)+Horaires3567345[[#This Row],[Fin]]</f>
        <v>0</v>
      </c>
      <c r="N36" s="35">
        <f>IF(Horaires3567345[[#This Row],[Fin]]&lt;Horaires3567345[[#This Row],[début]],MAX(0,MIN(Horaires3567345[[#This Row],[Fin corrigée si nuit]],fin_nuit)-MAX(Horaires3567345[[#This Row],[début]],deb_nuit))*24,(MAX(deb_nuit,Horaires3567345[[#This Row],[Fin]])-MAX(deb_nuit,Horaires3567345[[#This Row],[début]])+MAX(MIN(fin_nuit-1,Horaires3567345[[#This Row],[Fin]])-MIN(fin_nuit-1,Horaires3567345[[#This Row],[début]]),0))*24)</f>
        <v>0</v>
      </c>
      <c r="O36" s="55">
        <f>(MAX(0,MIN(Horaires3567345[[#This Row],[Fin corrigée si nuit]],fin_nuit)-MAX(Horaires3567345[[#This Row],[début]],deb_nuit))-IF(Horaires3567345[[#This Row],[PNP Début]]=0,0,MIN(Horaires3567345[[#This Row],[PNP Fin corrigée]],fin_nuit)-MAX(Horaires3567345[[#This Row],[PNP Début corrigé]],deb_nuit)))*24</f>
        <v>0</v>
      </c>
      <c r="P36" s="55">
        <f>(IF(WEEKDAY(Horaires3567345[[#This Row],[Date]],2)=7,MAX(0,MIN(fin_dimJF,Horaires3567345[[#This Row],[Fin corrigée si nuit]])-MAX(deb_dimJF,Horaires3567345[[#This Row],[début]])),0)+IF(WEEKDAY(Horaires3567345[[#This Row],[Date]],2)=6,MAX(0,Horaires3567345[[#This Row],[Fin corrigée si nuit]]-(1+deb_dimJF)),0))*24</f>
        <v>0</v>
      </c>
      <c r="Q36" s="55">
        <f>(IF(WEEKDAY(Horaires3567345[[#This Row],[Date]],2)=7,MAX(0,MIN(fin_dimJF,Horaires3567345[[#This Row],[Fin corrigée si nuit]])-MAX(deb_dimJF,Horaires3567345[[#This Row],[début]])),0)+IF(WEEKDAY(Horaires3567345[[#This Row],[Date]],2)=6,MAX(0,Horaires3567345[[#This Row],[Fin corrigée si nuit]]-(1+deb_dimJF)),0))*24-
(IF(WEEKDAY(Horaires3567345[[#This Row],[Date]],2)=7,MAX(0,MIN(fin_dimJF,Horaires3567345[[#This Row],[PNP Fin corrigée]])-MAX(deb_dimJF,Horaires3567345[[#This Row],[PNP Début corrigé]])),0)+IF(WEEKDAY(Horaires3567345[[#This Row],[Date]],2)=6,MAX(0,Horaires3567345[[#This Row],[PNP Fin corrigée]]-(1+deb_dimJF)),0))*24</f>
        <v>0</v>
      </c>
      <c r="R36" s="55">
        <f>(IF(COUNTIF(JF,Horaires3567345[[#This Row],[Date]]),MAX(0,MIN(fin_dimJF,Horaires3567345[[#This Row],[Fin corrigée si nuit]])-MAX(deb_dimJF,Horaires3567345[[#This Row],[début]])),0)+IF(COUNTIF(JF,Horaires3567345[[#This Row],[Date]]+1),MAX(0,Horaires3567345[[#This Row],[Fin corrigée si nuit]]-(1+deb_dimJF)),0))*24</f>
        <v>0</v>
      </c>
      <c r="S36" s="55">
        <f>(IF(COUNTIF(JF,Horaires3567345[[#This Row],[Date]]),MAX(0,MIN(fin_dimJF,Horaires3567345[[#This Row],[Fin corrigée si nuit]])-MAX(deb_dimJF,Horaires3567345[[#This Row],[début]])),0)+IF(COUNTIF(JF,Horaires3567345[[#This Row],[Date]]+1),MAX(0,Horaires3567345[[#This Row],[Fin corrigée si nuit]]-(1+deb_dimJF)),0))*24-
(IF(COUNTIF(JF,Horaires3567345[[#This Row],[Date]]),MAX(0,MIN(fin_dimJF,Horaires3567345[[#This Row],[PNP Fin corrigée]])-MAX(deb_dimJF,Horaires3567345[[#This Row],[PNP Début corrigé]])),0)+IF(COUNTIF(JF,Horaires3567345[[#This Row],[Date]]+1),MAX(0,Horaires3567345[[#This Row],[PNP Fin corrigée]]-(1+deb_dimJF)),0))*24</f>
        <v>0</v>
      </c>
    </row>
    <row r="37" spans="1:19" x14ac:dyDescent="0.35">
      <c r="A37" s="5"/>
      <c r="B37" s="1"/>
      <c r="C37" s="2"/>
      <c r="D37" s="2"/>
      <c r="E37" s="3"/>
      <c r="F37" s="3"/>
      <c r="G37" s="3"/>
      <c r="H37" s="3"/>
      <c r="I37" s="51">
        <f>0.1*(Horaires3567345[[#This Row],[Heures de nuit]]+Horaires3567345[[#This Row],[heures jour dimanche]]+Horaires3567345[[#This Row],[heures jour fériés]])</f>
        <v>0</v>
      </c>
      <c r="J37" s="52">
        <f>(MOD(Horaires3567345[[#This Row],[Fin]]-Horaires3567345[[#This Row],[début]],1)-MOD(Horaires3567345[[#This Row],[PNP Fin]]-Horaires3567345[[#This Row],[PNP Début]],1))*24</f>
        <v>0</v>
      </c>
      <c r="K37" s="53">
        <f>IF(Horaires3567345[[#This Row],[PNP Début]]=0,0,IF(Horaires3567345[[#This Row],[PNP Début]]&lt;Horaires3567345[[#This Row],[début]],1,0)+Horaires3567345[[#This Row],[PNP Début]])</f>
        <v>0</v>
      </c>
      <c r="L37" s="54">
        <f>IF(Horaires3567345[[#This Row],[PNP Fin]]=0,0,IF(Horaires3567345[[#This Row],[PNP Fin]]&lt;Horaires3567345[[#This Row],[début]],1,0)+Horaires3567345[[#This Row],[PNP Fin]])</f>
        <v>0</v>
      </c>
      <c r="M37" s="54">
        <f>IF(Horaires3567345[[#This Row],[Fin]]&lt;Horaires3567345[[#This Row],[début]],1,0)+Horaires3567345[[#This Row],[Fin]]</f>
        <v>0</v>
      </c>
      <c r="N37" s="35">
        <f>IF(Horaires3567345[[#This Row],[Fin]]&lt;Horaires3567345[[#This Row],[début]],MAX(0,MIN(Horaires3567345[[#This Row],[Fin corrigée si nuit]],fin_nuit)-MAX(Horaires3567345[[#This Row],[début]],deb_nuit))*24,(MAX(deb_nuit,Horaires3567345[[#This Row],[Fin]])-MAX(deb_nuit,Horaires3567345[[#This Row],[début]])+MAX(MIN(fin_nuit-1,Horaires3567345[[#This Row],[Fin]])-MIN(fin_nuit-1,Horaires3567345[[#This Row],[début]]),0))*24)</f>
        <v>0</v>
      </c>
      <c r="O37" s="55">
        <f>(MAX(0,MIN(Horaires3567345[[#This Row],[Fin corrigée si nuit]],fin_nuit)-MAX(Horaires3567345[[#This Row],[début]],deb_nuit))-IF(Horaires3567345[[#This Row],[PNP Début]]=0,0,MIN(Horaires3567345[[#This Row],[PNP Fin corrigée]],fin_nuit)-MAX(Horaires3567345[[#This Row],[PNP Début corrigé]],deb_nuit)))*24</f>
        <v>0</v>
      </c>
      <c r="P37" s="55">
        <f>(IF(WEEKDAY(Horaires3567345[[#This Row],[Date]],2)=7,MAX(0,MIN(fin_dimJF,Horaires3567345[[#This Row],[Fin corrigée si nuit]])-MAX(deb_dimJF,Horaires3567345[[#This Row],[début]])),0)+IF(WEEKDAY(Horaires3567345[[#This Row],[Date]],2)=6,MAX(0,Horaires3567345[[#This Row],[Fin corrigée si nuit]]-(1+deb_dimJF)),0))*24</f>
        <v>0</v>
      </c>
      <c r="Q37" s="55">
        <f>(IF(WEEKDAY(Horaires3567345[[#This Row],[Date]],2)=7,MAX(0,MIN(fin_dimJF,Horaires3567345[[#This Row],[Fin corrigée si nuit]])-MAX(deb_dimJF,Horaires3567345[[#This Row],[début]])),0)+IF(WEEKDAY(Horaires3567345[[#This Row],[Date]],2)=6,MAX(0,Horaires3567345[[#This Row],[Fin corrigée si nuit]]-(1+deb_dimJF)),0))*24-
(IF(WEEKDAY(Horaires3567345[[#This Row],[Date]],2)=7,MAX(0,MIN(fin_dimJF,Horaires3567345[[#This Row],[PNP Fin corrigée]])-MAX(deb_dimJF,Horaires3567345[[#This Row],[PNP Début corrigé]])),0)+IF(WEEKDAY(Horaires3567345[[#This Row],[Date]],2)=6,MAX(0,Horaires3567345[[#This Row],[PNP Fin corrigée]]-(1+deb_dimJF)),0))*24</f>
        <v>0</v>
      </c>
      <c r="R37" s="55">
        <f>(IF(COUNTIF(JF,Horaires3567345[[#This Row],[Date]]),MAX(0,MIN(fin_dimJF,Horaires3567345[[#This Row],[Fin corrigée si nuit]])-MAX(deb_dimJF,Horaires3567345[[#This Row],[début]])),0)+IF(COUNTIF(JF,Horaires3567345[[#This Row],[Date]]+1),MAX(0,Horaires3567345[[#This Row],[Fin corrigée si nuit]]-(1+deb_dimJF)),0))*24</f>
        <v>0</v>
      </c>
      <c r="S37" s="55">
        <f>(IF(COUNTIF(JF,Horaires3567345[[#This Row],[Date]]),MAX(0,MIN(fin_dimJF,Horaires3567345[[#This Row],[Fin corrigée si nuit]])-MAX(deb_dimJF,Horaires3567345[[#This Row],[début]])),0)+IF(COUNTIF(JF,Horaires3567345[[#This Row],[Date]]+1),MAX(0,Horaires3567345[[#This Row],[Fin corrigée si nuit]]-(1+deb_dimJF)),0))*24-
(IF(COUNTIF(JF,Horaires3567345[[#This Row],[Date]]),MAX(0,MIN(fin_dimJF,Horaires3567345[[#This Row],[PNP Fin corrigée]])-MAX(deb_dimJF,Horaires3567345[[#This Row],[PNP Début corrigé]])),0)+IF(COUNTIF(JF,Horaires3567345[[#This Row],[Date]]+1),MAX(0,Horaires3567345[[#This Row],[PNP Fin corrigée]]-(1+deb_dimJF)),0))*24</f>
        <v>0</v>
      </c>
    </row>
    <row r="38" spans="1:19" x14ac:dyDescent="0.35">
      <c r="A38" s="5"/>
      <c r="B38" s="1"/>
      <c r="C38" s="2"/>
      <c r="D38" s="2"/>
      <c r="E38" s="3"/>
      <c r="F38" s="3"/>
      <c r="G38" s="3"/>
      <c r="H38" s="3"/>
      <c r="I38" s="51">
        <f>0.1*(Horaires3567345[[#This Row],[Heures de nuit]]+Horaires3567345[[#This Row],[heures jour dimanche]]+Horaires3567345[[#This Row],[heures jour fériés]])</f>
        <v>0</v>
      </c>
      <c r="J38" s="52">
        <f>(MOD(Horaires3567345[[#This Row],[Fin]]-Horaires3567345[[#This Row],[début]],1)-MOD(Horaires3567345[[#This Row],[PNP Fin]]-Horaires3567345[[#This Row],[PNP Début]],1))*24</f>
        <v>0</v>
      </c>
      <c r="K38" s="53">
        <f>IF(Horaires3567345[[#This Row],[PNP Début]]=0,0,IF(Horaires3567345[[#This Row],[PNP Début]]&lt;Horaires3567345[[#This Row],[début]],1,0)+Horaires3567345[[#This Row],[PNP Début]])</f>
        <v>0</v>
      </c>
      <c r="L38" s="54">
        <f>IF(Horaires3567345[[#This Row],[PNP Fin]]=0,0,IF(Horaires3567345[[#This Row],[PNP Fin]]&lt;Horaires3567345[[#This Row],[début]],1,0)+Horaires3567345[[#This Row],[PNP Fin]])</f>
        <v>0</v>
      </c>
      <c r="M38" s="54">
        <f>IF(Horaires3567345[[#This Row],[Fin]]&lt;Horaires3567345[[#This Row],[début]],1,0)+Horaires3567345[[#This Row],[Fin]]</f>
        <v>0</v>
      </c>
      <c r="N38" s="35">
        <f>IF(Horaires3567345[[#This Row],[Fin]]&lt;Horaires3567345[[#This Row],[début]],MAX(0,MIN(Horaires3567345[[#This Row],[Fin corrigée si nuit]],fin_nuit)-MAX(Horaires3567345[[#This Row],[début]],deb_nuit))*24,(MAX(deb_nuit,Horaires3567345[[#This Row],[Fin]])-MAX(deb_nuit,Horaires3567345[[#This Row],[début]])+MAX(MIN(fin_nuit-1,Horaires3567345[[#This Row],[Fin]])-MIN(fin_nuit-1,Horaires3567345[[#This Row],[début]]),0))*24)</f>
        <v>0</v>
      </c>
      <c r="O38" s="55">
        <f>(MAX(0,MIN(Horaires3567345[[#This Row],[Fin corrigée si nuit]],fin_nuit)-MAX(Horaires3567345[[#This Row],[début]],deb_nuit))-IF(Horaires3567345[[#This Row],[PNP Début]]=0,0,MIN(Horaires3567345[[#This Row],[PNP Fin corrigée]],fin_nuit)-MAX(Horaires3567345[[#This Row],[PNP Début corrigé]],deb_nuit)))*24</f>
        <v>0</v>
      </c>
      <c r="P38" s="55">
        <f>(IF(WEEKDAY(Horaires3567345[[#This Row],[Date]],2)=7,MAX(0,MIN(fin_dimJF,Horaires3567345[[#This Row],[Fin corrigée si nuit]])-MAX(deb_dimJF,Horaires3567345[[#This Row],[début]])),0)+IF(WEEKDAY(Horaires3567345[[#This Row],[Date]],2)=6,MAX(0,Horaires3567345[[#This Row],[Fin corrigée si nuit]]-(1+deb_dimJF)),0))*24</f>
        <v>0</v>
      </c>
      <c r="Q38" s="55">
        <f>(IF(WEEKDAY(Horaires3567345[[#This Row],[Date]],2)=7,MAX(0,MIN(fin_dimJF,Horaires3567345[[#This Row],[Fin corrigée si nuit]])-MAX(deb_dimJF,Horaires3567345[[#This Row],[début]])),0)+IF(WEEKDAY(Horaires3567345[[#This Row],[Date]],2)=6,MAX(0,Horaires3567345[[#This Row],[Fin corrigée si nuit]]-(1+deb_dimJF)),0))*24-
(IF(WEEKDAY(Horaires3567345[[#This Row],[Date]],2)=7,MAX(0,MIN(fin_dimJF,Horaires3567345[[#This Row],[PNP Fin corrigée]])-MAX(deb_dimJF,Horaires3567345[[#This Row],[PNP Début corrigé]])),0)+IF(WEEKDAY(Horaires3567345[[#This Row],[Date]],2)=6,MAX(0,Horaires3567345[[#This Row],[PNP Fin corrigée]]-(1+deb_dimJF)),0))*24</f>
        <v>0</v>
      </c>
      <c r="R38" s="55">
        <f>(IF(COUNTIF(JF,Horaires3567345[[#This Row],[Date]]),MAX(0,MIN(fin_dimJF,Horaires3567345[[#This Row],[Fin corrigée si nuit]])-MAX(deb_dimJF,Horaires3567345[[#This Row],[début]])),0)+IF(COUNTIF(JF,Horaires3567345[[#This Row],[Date]]+1),MAX(0,Horaires3567345[[#This Row],[Fin corrigée si nuit]]-(1+deb_dimJF)),0))*24</f>
        <v>0</v>
      </c>
      <c r="S38" s="55">
        <f>(IF(COUNTIF(JF,Horaires3567345[[#This Row],[Date]]),MAX(0,MIN(fin_dimJF,Horaires3567345[[#This Row],[Fin corrigée si nuit]])-MAX(deb_dimJF,Horaires3567345[[#This Row],[début]])),0)+IF(COUNTIF(JF,Horaires3567345[[#This Row],[Date]]+1),MAX(0,Horaires3567345[[#This Row],[Fin corrigée si nuit]]-(1+deb_dimJF)),0))*24-
(IF(COUNTIF(JF,Horaires3567345[[#This Row],[Date]]),MAX(0,MIN(fin_dimJF,Horaires3567345[[#This Row],[PNP Fin corrigée]])-MAX(deb_dimJF,Horaires3567345[[#This Row],[PNP Début corrigé]])),0)+IF(COUNTIF(JF,Horaires3567345[[#This Row],[Date]]+1),MAX(0,Horaires3567345[[#This Row],[PNP Fin corrigée]]-(1+deb_dimJF)),0))*24</f>
        <v>0</v>
      </c>
    </row>
    <row r="39" spans="1:19" x14ac:dyDescent="0.35">
      <c r="A39" s="5"/>
      <c r="B39" s="1"/>
      <c r="C39" s="2"/>
      <c r="D39" s="2"/>
      <c r="E39" s="3"/>
      <c r="F39" s="3"/>
      <c r="G39" s="3"/>
      <c r="H39" s="3"/>
      <c r="I39" s="51">
        <f>0.1*(Horaires3567345[[#This Row],[Heures de nuit]]+Horaires3567345[[#This Row],[heures jour dimanche]]+Horaires3567345[[#This Row],[heures jour fériés]])</f>
        <v>0</v>
      </c>
      <c r="J39" s="52">
        <f>(MOD(Horaires3567345[[#This Row],[Fin]]-Horaires3567345[[#This Row],[début]],1)-MOD(Horaires3567345[[#This Row],[PNP Fin]]-Horaires3567345[[#This Row],[PNP Début]],1))*24</f>
        <v>0</v>
      </c>
      <c r="K39" s="53">
        <f>IF(Horaires3567345[[#This Row],[PNP Début]]=0,0,IF(Horaires3567345[[#This Row],[PNP Début]]&lt;Horaires3567345[[#This Row],[début]],1,0)+Horaires3567345[[#This Row],[PNP Début]])</f>
        <v>0</v>
      </c>
      <c r="L39" s="54">
        <f>IF(Horaires3567345[[#This Row],[PNP Fin]]=0,0,IF(Horaires3567345[[#This Row],[PNP Fin]]&lt;Horaires3567345[[#This Row],[début]],1,0)+Horaires3567345[[#This Row],[PNP Fin]])</f>
        <v>0</v>
      </c>
      <c r="M39" s="54">
        <f>IF(Horaires3567345[[#This Row],[Fin]]&lt;Horaires3567345[[#This Row],[début]],1,0)+Horaires3567345[[#This Row],[Fin]]</f>
        <v>0</v>
      </c>
      <c r="N39" s="35">
        <f>IF(Horaires3567345[[#This Row],[Fin]]&lt;Horaires3567345[[#This Row],[début]],MAX(0,MIN(Horaires3567345[[#This Row],[Fin corrigée si nuit]],fin_nuit)-MAX(Horaires3567345[[#This Row],[début]],deb_nuit))*24,(MAX(deb_nuit,Horaires3567345[[#This Row],[Fin]])-MAX(deb_nuit,Horaires3567345[[#This Row],[début]])+MAX(MIN(fin_nuit-1,Horaires3567345[[#This Row],[Fin]])-MIN(fin_nuit-1,Horaires3567345[[#This Row],[début]]),0))*24)</f>
        <v>0</v>
      </c>
      <c r="O39" s="55">
        <f>(MAX(0,MIN(Horaires3567345[[#This Row],[Fin corrigée si nuit]],fin_nuit)-MAX(Horaires3567345[[#This Row],[début]],deb_nuit))-IF(Horaires3567345[[#This Row],[PNP Début]]=0,0,MIN(Horaires3567345[[#This Row],[PNP Fin corrigée]],fin_nuit)-MAX(Horaires3567345[[#This Row],[PNP Début corrigé]],deb_nuit)))*24</f>
        <v>0</v>
      </c>
      <c r="P39" s="55">
        <f>(IF(WEEKDAY(Horaires3567345[[#This Row],[Date]],2)=7,MAX(0,MIN(fin_dimJF,Horaires3567345[[#This Row],[Fin corrigée si nuit]])-MAX(deb_dimJF,Horaires3567345[[#This Row],[début]])),0)+IF(WEEKDAY(Horaires3567345[[#This Row],[Date]],2)=6,MAX(0,Horaires3567345[[#This Row],[Fin corrigée si nuit]]-(1+deb_dimJF)),0))*24</f>
        <v>0</v>
      </c>
      <c r="Q39" s="55">
        <f>(IF(WEEKDAY(Horaires3567345[[#This Row],[Date]],2)=7,MAX(0,MIN(fin_dimJF,Horaires3567345[[#This Row],[Fin corrigée si nuit]])-MAX(deb_dimJF,Horaires3567345[[#This Row],[début]])),0)+IF(WEEKDAY(Horaires3567345[[#This Row],[Date]],2)=6,MAX(0,Horaires3567345[[#This Row],[Fin corrigée si nuit]]-(1+deb_dimJF)),0))*24-
(IF(WEEKDAY(Horaires3567345[[#This Row],[Date]],2)=7,MAX(0,MIN(fin_dimJF,Horaires3567345[[#This Row],[PNP Fin corrigée]])-MAX(deb_dimJF,Horaires3567345[[#This Row],[PNP Début corrigé]])),0)+IF(WEEKDAY(Horaires3567345[[#This Row],[Date]],2)=6,MAX(0,Horaires3567345[[#This Row],[PNP Fin corrigée]]-(1+deb_dimJF)),0))*24</f>
        <v>0</v>
      </c>
      <c r="R39" s="55">
        <f>(IF(COUNTIF(JF,Horaires3567345[[#This Row],[Date]]),MAX(0,MIN(fin_dimJF,Horaires3567345[[#This Row],[Fin corrigée si nuit]])-MAX(deb_dimJF,Horaires3567345[[#This Row],[début]])),0)+IF(COUNTIF(JF,Horaires3567345[[#This Row],[Date]]+1),MAX(0,Horaires3567345[[#This Row],[Fin corrigée si nuit]]-(1+deb_dimJF)),0))*24</f>
        <v>0</v>
      </c>
      <c r="S39" s="55">
        <f>(IF(COUNTIF(JF,Horaires3567345[[#This Row],[Date]]),MAX(0,MIN(fin_dimJF,Horaires3567345[[#This Row],[Fin corrigée si nuit]])-MAX(deb_dimJF,Horaires3567345[[#This Row],[début]])),0)+IF(COUNTIF(JF,Horaires3567345[[#This Row],[Date]]+1),MAX(0,Horaires3567345[[#This Row],[Fin corrigée si nuit]]-(1+deb_dimJF)),0))*24-
(IF(COUNTIF(JF,Horaires3567345[[#This Row],[Date]]),MAX(0,MIN(fin_dimJF,Horaires3567345[[#This Row],[PNP Fin corrigée]])-MAX(deb_dimJF,Horaires3567345[[#This Row],[PNP Début corrigé]])),0)+IF(COUNTIF(JF,Horaires3567345[[#This Row],[Date]]+1),MAX(0,Horaires3567345[[#This Row],[PNP Fin corrigée]]-(1+deb_dimJF)),0))*24</f>
        <v>0</v>
      </c>
    </row>
    <row r="40" spans="1:19" x14ac:dyDescent="0.35">
      <c r="A40" s="5"/>
      <c r="B40" s="1"/>
      <c r="C40" s="2"/>
      <c r="D40" s="2"/>
      <c r="E40" s="3"/>
      <c r="F40" s="3"/>
      <c r="G40" s="3"/>
      <c r="H40" s="3"/>
      <c r="I40" s="51">
        <f>0.1*(Horaires3567345[[#This Row],[Heures de nuit]]+Horaires3567345[[#This Row],[heures jour dimanche]]+Horaires3567345[[#This Row],[heures jour fériés]])</f>
        <v>0</v>
      </c>
      <c r="J40" s="52">
        <f>(MOD(Horaires3567345[[#This Row],[Fin]]-Horaires3567345[[#This Row],[début]],1)-MOD(Horaires3567345[[#This Row],[PNP Fin]]-Horaires3567345[[#This Row],[PNP Début]],1))*24</f>
        <v>0</v>
      </c>
      <c r="K40" s="53">
        <f>IF(Horaires3567345[[#This Row],[PNP Début]]=0,0,IF(Horaires3567345[[#This Row],[PNP Début]]&lt;Horaires3567345[[#This Row],[début]],1,0)+Horaires3567345[[#This Row],[PNP Début]])</f>
        <v>0</v>
      </c>
      <c r="L40" s="54">
        <f>IF(Horaires3567345[[#This Row],[PNP Fin]]=0,0,IF(Horaires3567345[[#This Row],[PNP Fin]]&lt;Horaires3567345[[#This Row],[début]],1,0)+Horaires3567345[[#This Row],[PNP Fin]])</f>
        <v>0</v>
      </c>
      <c r="M40" s="54">
        <f>IF(Horaires3567345[[#This Row],[Fin]]&lt;Horaires3567345[[#This Row],[début]],1,0)+Horaires3567345[[#This Row],[Fin]]</f>
        <v>0</v>
      </c>
      <c r="N40" s="35">
        <f>IF(Horaires3567345[[#This Row],[Fin]]&lt;Horaires3567345[[#This Row],[début]],MAX(0,MIN(Horaires3567345[[#This Row],[Fin corrigée si nuit]],fin_nuit)-MAX(Horaires3567345[[#This Row],[début]],deb_nuit))*24,(MAX(deb_nuit,Horaires3567345[[#This Row],[Fin]])-MAX(deb_nuit,Horaires3567345[[#This Row],[début]])+MAX(MIN(fin_nuit-1,Horaires3567345[[#This Row],[Fin]])-MIN(fin_nuit-1,Horaires3567345[[#This Row],[début]]),0))*24)</f>
        <v>0</v>
      </c>
      <c r="O40" s="55">
        <f>(MAX(0,MIN(Horaires3567345[[#This Row],[Fin corrigée si nuit]],fin_nuit)-MAX(Horaires3567345[[#This Row],[début]],deb_nuit))-IF(Horaires3567345[[#This Row],[PNP Début]]=0,0,MIN(Horaires3567345[[#This Row],[PNP Fin corrigée]],fin_nuit)-MAX(Horaires3567345[[#This Row],[PNP Début corrigé]],deb_nuit)))*24</f>
        <v>0</v>
      </c>
      <c r="P40" s="55">
        <f>(IF(WEEKDAY(Horaires3567345[[#This Row],[Date]],2)=7,MAX(0,MIN(fin_dimJF,Horaires3567345[[#This Row],[Fin corrigée si nuit]])-MAX(deb_dimJF,Horaires3567345[[#This Row],[début]])),0)+IF(WEEKDAY(Horaires3567345[[#This Row],[Date]],2)=6,MAX(0,Horaires3567345[[#This Row],[Fin corrigée si nuit]]-(1+deb_dimJF)),0))*24</f>
        <v>0</v>
      </c>
      <c r="Q40" s="55">
        <f>(IF(WEEKDAY(Horaires3567345[[#This Row],[Date]],2)=7,MAX(0,MIN(fin_dimJF,Horaires3567345[[#This Row],[Fin corrigée si nuit]])-MAX(deb_dimJF,Horaires3567345[[#This Row],[début]])),0)+IF(WEEKDAY(Horaires3567345[[#This Row],[Date]],2)=6,MAX(0,Horaires3567345[[#This Row],[Fin corrigée si nuit]]-(1+deb_dimJF)),0))*24-
(IF(WEEKDAY(Horaires3567345[[#This Row],[Date]],2)=7,MAX(0,MIN(fin_dimJF,Horaires3567345[[#This Row],[PNP Fin corrigée]])-MAX(deb_dimJF,Horaires3567345[[#This Row],[PNP Début corrigé]])),0)+IF(WEEKDAY(Horaires3567345[[#This Row],[Date]],2)=6,MAX(0,Horaires3567345[[#This Row],[PNP Fin corrigée]]-(1+deb_dimJF)),0))*24</f>
        <v>0</v>
      </c>
      <c r="R40" s="55">
        <f>(IF(COUNTIF(JF,Horaires3567345[[#This Row],[Date]]),MAX(0,MIN(fin_dimJF,Horaires3567345[[#This Row],[Fin corrigée si nuit]])-MAX(deb_dimJF,Horaires3567345[[#This Row],[début]])),0)+IF(COUNTIF(JF,Horaires3567345[[#This Row],[Date]]+1),MAX(0,Horaires3567345[[#This Row],[Fin corrigée si nuit]]-(1+deb_dimJF)),0))*24</f>
        <v>0</v>
      </c>
      <c r="S40" s="55">
        <f>(IF(COUNTIF(JF,Horaires3567345[[#This Row],[Date]]),MAX(0,MIN(fin_dimJF,Horaires3567345[[#This Row],[Fin corrigée si nuit]])-MAX(deb_dimJF,Horaires3567345[[#This Row],[début]])),0)+IF(COUNTIF(JF,Horaires3567345[[#This Row],[Date]]+1),MAX(0,Horaires3567345[[#This Row],[Fin corrigée si nuit]]-(1+deb_dimJF)),0))*24-
(IF(COUNTIF(JF,Horaires3567345[[#This Row],[Date]]),MAX(0,MIN(fin_dimJF,Horaires3567345[[#This Row],[PNP Fin corrigée]])-MAX(deb_dimJF,Horaires3567345[[#This Row],[PNP Début corrigé]])),0)+IF(COUNTIF(JF,Horaires3567345[[#This Row],[Date]]+1),MAX(0,Horaires3567345[[#This Row],[PNP Fin corrigée]]-(1+deb_dimJF)),0))*24</f>
        <v>0</v>
      </c>
    </row>
    <row r="41" spans="1:19" x14ac:dyDescent="0.35">
      <c r="A41" s="5"/>
      <c r="B41" s="1"/>
      <c r="C41" s="2"/>
      <c r="D41" s="2"/>
      <c r="E41" s="3"/>
      <c r="F41" s="3"/>
      <c r="G41" s="3"/>
      <c r="H41" s="3"/>
      <c r="I41" s="51">
        <f>0.1*(Horaires3567345[[#This Row],[Heures de nuit]]+Horaires3567345[[#This Row],[heures jour dimanche]]+Horaires3567345[[#This Row],[heures jour fériés]])</f>
        <v>0</v>
      </c>
      <c r="J41" s="52">
        <f>(MOD(Horaires3567345[[#This Row],[Fin]]-Horaires3567345[[#This Row],[début]],1)-MOD(Horaires3567345[[#This Row],[PNP Fin]]-Horaires3567345[[#This Row],[PNP Début]],1))*24</f>
        <v>0</v>
      </c>
      <c r="K41" s="53">
        <f>IF(Horaires3567345[[#This Row],[PNP Début]]=0,0,IF(Horaires3567345[[#This Row],[PNP Début]]&lt;Horaires3567345[[#This Row],[début]],1,0)+Horaires3567345[[#This Row],[PNP Début]])</f>
        <v>0</v>
      </c>
      <c r="L41" s="54">
        <f>IF(Horaires3567345[[#This Row],[PNP Fin]]=0,0,IF(Horaires3567345[[#This Row],[PNP Fin]]&lt;Horaires3567345[[#This Row],[début]],1,0)+Horaires3567345[[#This Row],[PNP Fin]])</f>
        <v>0</v>
      </c>
      <c r="M41" s="54">
        <f>IF(Horaires3567345[[#This Row],[Fin]]&lt;Horaires3567345[[#This Row],[début]],1,0)+Horaires3567345[[#This Row],[Fin]]</f>
        <v>0</v>
      </c>
      <c r="N41" s="35">
        <f>IF(Horaires3567345[[#This Row],[Fin]]&lt;Horaires3567345[[#This Row],[début]],MAX(0,MIN(Horaires3567345[[#This Row],[Fin corrigée si nuit]],fin_nuit)-MAX(Horaires3567345[[#This Row],[début]],deb_nuit))*24,(MAX(deb_nuit,Horaires3567345[[#This Row],[Fin]])-MAX(deb_nuit,Horaires3567345[[#This Row],[début]])+MAX(MIN(fin_nuit-1,Horaires3567345[[#This Row],[Fin]])-MIN(fin_nuit-1,Horaires3567345[[#This Row],[début]]),0))*24)</f>
        <v>0</v>
      </c>
      <c r="O41" s="55">
        <f>(MAX(0,MIN(Horaires3567345[[#This Row],[Fin corrigée si nuit]],fin_nuit)-MAX(Horaires3567345[[#This Row],[début]],deb_nuit))-IF(Horaires3567345[[#This Row],[PNP Début]]=0,0,MIN(Horaires3567345[[#This Row],[PNP Fin corrigée]],fin_nuit)-MAX(Horaires3567345[[#This Row],[PNP Début corrigé]],deb_nuit)))*24</f>
        <v>0</v>
      </c>
      <c r="P41" s="55">
        <f>(IF(WEEKDAY(Horaires3567345[[#This Row],[Date]],2)=7,MAX(0,MIN(fin_dimJF,Horaires3567345[[#This Row],[Fin corrigée si nuit]])-MAX(deb_dimJF,Horaires3567345[[#This Row],[début]])),0)+IF(WEEKDAY(Horaires3567345[[#This Row],[Date]],2)=6,MAX(0,Horaires3567345[[#This Row],[Fin corrigée si nuit]]-(1+deb_dimJF)),0))*24</f>
        <v>0</v>
      </c>
      <c r="Q41" s="55">
        <f>(IF(WEEKDAY(Horaires3567345[[#This Row],[Date]],2)=7,MAX(0,MIN(fin_dimJF,Horaires3567345[[#This Row],[Fin corrigée si nuit]])-MAX(deb_dimJF,Horaires3567345[[#This Row],[début]])),0)+IF(WEEKDAY(Horaires3567345[[#This Row],[Date]],2)=6,MAX(0,Horaires3567345[[#This Row],[Fin corrigée si nuit]]-(1+deb_dimJF)),0))*24-
(IF(WEEKDAY(Horaires3567345[[#This Row],[Date]],2)=7,MAX(0,MIN(fin_dimJF,Horaires3567345[[#This Row],[PNP Fin corrigée]])-MAX(deb_dimJF,Horaires3567345[[#This Row],[PNP Début corrigé]])),0)+IF(WEEKDAY(Horaires3567345[[#This Row],[Date]],2)=6,MAX(0,Horaires3567345[[#This Row],[PNP Fin corrigée]]-(1+deb_dimJF)),0))*24</f>
        <v>0</v>
      </c>
      <c r="R41" s="55">
        <f>(IF(COUNTIF(JF,Horaires3567345[[#This Row],[Date]]),MAX(0,MIN(fin_dimJF,Horaires3567345[[#This Row],[Fin corrigée si nuit]])-MAX(deb_dimJF,Horaires3567345[[#This Row],[début]])),0)+IF(COUNTIF(JF,Horaires3567345[[#This Row],[Date]]+1),MAX(0,Horaires3567345[[#This Row],[Fin corrigée si nuit]]-(1+deb_dimJF)),0))*24</f>
        <v>0</v>
      </c>
      <c r="S41" s="55">
        <f>(IF(COUNTIF(JF,Horaires3567345[[#This Row],[Date]]),MAX(0,MIN(fin_dimJF,Horaires3567345[[#This Row],[Fin corrigée si nuit]])-MAX(deb_dimJF,Horaires3567345[[#This Row],[début]])),0)+IF(COUNTIF(JF,Horaires3567345[[#This Row],[Date]]+1),MAX(0,Horaires3567345[[#This Row],[Fin corrigée si nuit]]-(1+deb_dimJF)),0))*24-
(IF(COUNTIF(JF,Horaires3567345[[#This Row],[Date]]),MAX(0,MIN(fin_dimJF,Horaires3567345[[#This Row],[PNP Fin corrigée]])-MAX(deb_dimJF,Horaires3567345[[#This Row],[PNP Début corrigé]])),0)+IF(COUNTIF(JF,Horaires3567345[[#This Row],[Date]]+1),MAX(0,Horaires3567345[[#This Row],[PNP Fin corrigée]]-(1+deb_dimJF)),0))*24</f>
        <v>0</v>
      </c>
    </row>
    <row r="42" spans="1:19" x14ac:dyDescent="0.35">
      <c r="A42" s="5"/>
      <c r="B42" s="1"/>
      <c r="C42" s="2"/>
      <c r="D42" s="2"/>
      <c r="E42" s="3"/>
      <c r="F42" s="3"/>
      <c r="G42" s="3"/>
      <c r="H42" s="3"/>
      <c r="I42" s="51">
        <f>0.1*(Horaires3567345[[#This Row],[Heures de nuit]]+Horaires3567345[[#This Row],[heures jour dimanche]]+Horaires3567345[[#This Row],[heures jour fériés]])</f>
        <v>0</v>
      </c>
      <c r="J42" s="52">
        <f>(MOD(Horaires3567345[[#This Row],[Fin]]-Horaires3567345[[#This Row],[début]],1)-MOD(Horaires3567345[[#This Row],[PNP Fin]]-Horaires3567345[[#This Row],[PNP Début]],1))*24</f>
        <v>0</v>
      </c>
      <c r="K42" s="53">
        <f>IF(Horaires3567345[[#This Row],[PNP Début]]=0,0,IF(Horaires3567345[[#This Row],[PNP Début]]&lt;Horaires3567345[[#This Row],[début]],1,0)+Horaires3567345[[#This Row],[PNP Début]])</f>
        <v>0</v>
      </c>
      <c r="L42" s="54">
        <f>IF(Horaires3567345[[#This Row],[PNP Fin]]=0,0,IF(Horaires3567345[[#This Row],[PNP Fin]]&lt;Horaires3567345[[#This Row],[début]],1,0)+Horaires3567345[[#This Row],[PNP Fin]])</f>
        <v>0</v>
      </c>
      <c r="M42" s="54">
        <f>IF(Horaires3567345[[#This Row],[Fin]]&lt;Horaires3567345[[#This Row],[début]],1,0)+Horaires3567345[[#This Row],[Fin]]</f>
        <v>0</v>
      </c>
      <c r="N42" s="35">
        <f>IF(Horaires3567345[[#This Row],[Fin]]&lt;Horaires3567345[[#This Row],[début]],MAX(0,MIN(Horaires3567345[[#This Row],[Fin corrigée si nuit]],fin_nuit)-MAX(Horaires3567345[[#This Row],[début]],deb_nuit))*24,(MAX(deb_nuit,Horaires3567345[[#This Row],[Fin]])-MAX(deb_nuit,Horaires3567345[[#This Row],[début]])+MAX(MIN(fin_nuit-1,Horaires3567345[[#This Row],[Fin]])-MIN(fin_nuit-1,Horaires3567345[[#This Row],[début]]),0))*24)</f>
        <v>0</v>
      </c>
      <c r="O42" s="55">
        <f>(MAX(0,MIN(Horaires3567345[[#This Row],[Fin corrigée si nuit]],fin_nuit)-MAX(Horaires3567345[[#This Row],[début]],deb_nuit))-IF(Horaires3567345[[#This Row],[PNP Début]]=0,0,MIN(Horaires3567345[[#This Row],[PNP Fin corrigée]],fin_nuit)-MAX(Horaires3567345[[#This Row],[PNP Début corrigé]],deb_nuit)))*24</f>
        <v>0</v>
      </c>
      <c r="P42" s="55">
        <f>(IF(WEEKDAY(Horaires3567345[[#This Row],[Date]],2)=7,MAX(0,MIN(fin_dimJF,Horaires3567345[[#This Row],[Fin corrigée si nuit]])-MAX(deb_dimJF,Horaires3567345[[#This Row],[début]])),0)+IF(WEEKDAY(Horaires3567345[[#This Row],[Date]],2)=6,MAX(0,Horaires3567345[[#This Row],[Fin corrigée si nuit]]-(1+deb_dimJF)),0))*24</f>
        <v>0</v>
      </c>
      <c r="Q42" s="55">
        <f>(IF(WEEKDAY(Horaires3567345[[#This Row],[Date]],2)=7,MAX(0,MIN(fin_dimJF,Horaires3567345[[#This Row],[Fin corrigée si nuit]])-MAX(deb_dimJF,Horaires3567345[[#This Row],[début]])),0)+IF(WEEKDAY(Horaires3567345[[#This Row],[Date]],2)=6,MAX(0,Horaires3567345[[#This Row],[Fin corrigée si nuit]]-(1+deb_dimJF)),0))*24-
(IF(WEEKDAY(Horaires3567345[[#This Row],[Date]],2)=7,MAX(0,MIN(fin_dimJF,Horaires3567345[[#This Row],[PNP Fin corrigée]])-MAX(deb_dimJF,Horaires3567345[[#This Row],[PNP Début corrigé]])),0)+IF(WEEKDAY(Horaires3567345[[#This Row],[Date]],2)=6,MAX(0,Horaires3567345[[#This Row],[PNP Fin corrigée]]-(1+deb_dimJF)),0))*24</f>
        <v>0</v>
      </c>
      <c r="R42" s="55">
        <f>(IF(COUNTIF(JF,Horaires3567345[[#This Row],[Date]]),MAX(0,MIN(fin_dimJF,Horaires3567345[[#This Row],[Fin corrigée si nuit]])-MAX(deb_dimJF,Horaires3567345[[#This Row],[début]])),0)+IF(COUNTIF(JF,Horaires3567345[[#This Row],[Date]]+1),MAX(0,Horaires3567345[[#This Row],[Fin corrigée si nuit]]-(1+deb_dimJF)),0))*24</f>
        <v>0</v>
      </c>
      <c r="S42" s="55">
        <f>(IF(COUNTIF(JF,Horaires3567345[[#This Row],[Date]]),MAX(0,MIN(fin_dimJF,Horaires3567345[[#This Row],[Fin corrigée si nuit]])-MAX(deb_dimJF,Horaires3567345[[#This Row],[début]])),0)+IF(COUNTIF(JF,Horaires3567345[[#This Row],[Date]]+1),MAX(0,Horaires3567345[[#This Row],[Fin corrigée si nuit]]-(1+deb_dimJF)),0))*24-
(IF(COUNTIF(JF,Horaires3567345[[#This Row],[Date]]),MAX(0,MIN(fin_dimJF,Horaires3567345[[#This Row],[PNP Fin corrigée]])-MAX(deb_dimJF,Horaires3567345[[#This Row],[PNP Début corrigé]])),0)+IF(COUNTIF(JF,Horaires3567345[[#This Row],[Date]]+1),MAX(0,Horaires3567345[[#This Row],[PNP Fin corrigée]]-(1+deb_dimJF)),0))*24</f>
        <v>0</v>
      </c>
    </row>
    <row r="43" spans="1:19" x14ac:dyDescent="0.35">
      <c r="A43" s="5"/>
      <c r="B43" s="1"/>
      <c r="C43" s="2"/>
      <c r="D43" s="2"/>
      <c r="E43" s="3"/>
      <c r="F43" s="3"/>
      <c r="G43" s="3"/>
      <c r="H43" s="3"/>
      <c r="I43" s="51">
        <f>0.1*(Horaires3567345[[#This Row],[Heures de nuit]]+Horaires3567345[[#This Row],[heures jour dimanche]]+Horaires3567345[[#This Row],[heures jour fériés]])</f>
        <v>0</v>
      </c>
      <c r="J43" s="52">
        <f>(MOD(Horaires3567345[[#This Row],[Fin]]-Horaires3567345[[#This Row],[début]],1)-MOD(Horaires3567345[[#This Row],[PNP Fin]]-Horaires3567345[[#This Row],[PNP Début]],1))*24</f>
        <v>0</v>
      </c>
      <c r="K43" s="53">
        <f>IF(Horaires3567345[[#This Row],[PNP Début]]=0,0,IF(Horaires3567345[[#This Row],[PNP Début]]&lt;Horaires3567345[[#This Row],[début]],1,0)+Horaires3567345[[#This Row],[PNP Début]])</f>
        <v>0</v>
      </c>
      <c r="L43" s="54">
        <f>IF(Horaires3567345[[#This Row],[PNP Fin]]=0,0,IF(Horaires3567345[[#This Row],[PNP Fin]]&lt;Horaires3567345[[#This Row],[début]],1,0)+Horaires3567345[[#This Row],[PNP Fin]])</f>
        <v>0</v>
      </c>
      <c r="M43" s="54">
        <f>IF(Horaires3567345[[#This Row],[Fin]]&lt;Horaires3567345[[#This Row],[début]],1,0)+Horaires3567345[[#This Row],[Fin]]</f>
        <v>0</v>
      </c>
      <c r="N43" s="35">
        <f>IF(Horaires3567345[[#This Row],[Fin]]&lt;Horaires3567345[[#This Row],[début]],MAX(0,MIN(Horaires3567345[[#This Row],[Fin corrigée si nuit]],fin_nuit)-MAX(Horaires3567345[[#This Row],[début]],deb_nuit))*24,(MAX(deb_nuit,Horaires3567345[[#This Row],[Fin]])-MAX(deb_nuit,Horaires3567345[[#This Row],[début]])+MAX(MIN(fin_nuit-1,Horaires3567345[[#This Row],[Fin]])-MIN(fin_nuit-1,Horaires3567345[[#This Row],[début]]),0))*24)</f>
        <v>0</v>
      </c>
      <c r="O43" s="55">
        <f>(MAX(0,MIN(Horaires3567345[[#This Row],[Fin corrigée si nuit]],fin_nuit)-MAX(Horaires3567345[[#This Row],[début]],deb_nuit))-IF(Horaires3567345[[#This Row],[PNP Début]]=0,0,MIN(Horaires3567345[[#This Row],[PNP Fin corrigée]],fin_nuit)-MAX(Horaires3567345[[#This Row],[PNP Début corrigé]],deb_nuit)))*24</f>
        <v>0</v>
      </c>
      <c r="P43" s="55">
        <f>(IF(WEEKDAY(Horaires3567345[[#This Row],[Date]],2)=7,MAX(0,MIN(fin_dimJF,Horaires3567345[[#This Row],[Fin corrigée si nuit]])-MAX(deb_dimJF,Horaires3567345[[#This Row],[début]])),0)+IF(WEEKDAY(Horaires3567345[[#This Row],[Date]],2)=6,MAX(0,Horaires3567345[[#This Row],[Fin corrigée si nuit]]-(1+deb_dimJF)),0))*24</f>
        <v>0</v>
      </c>
      <c r="Q43" s="55">
        <f>(IF(WEEKDAY(Horaires3567345[[#This Row],[Date]],2)=7,MAX(0,MIN(fin_dimJF,Horaires3567345[[#This Row],[Fin corrigée si nuit]])-MAX(deb_dimJF,Horaires3567345[[#This Row],[début]])),0)+IF(WEEKDAY(Horaires3567345[[#This Row],[Date]],2)=6,MAX(0,Horaires3567345[[#This Row],[Fin corrigée si nuit]]-(1+deb_dimJF)),0))*24-
(IF(WEEKDAY(Horaires3567345[[#This Row],[Date]],2)=7,MAX(0,MIN(fin_dimJF,Horaires3567345[[#This Row],[PNP Fin corrigée]])-MAX(deb_dimJF,Horaires3567345[[#This Row],[PNP Début corrigé]])),0)+IF(WEEKDAY(Horaires3567345[[#This Row],[Date]],2)=6,MAX(0,Horaires3567345[[#This Row],[PNP Fin corrigée]]-(1+deb_dimJF)),0))*24</f>
        <v>0</v>
      </c>
      <c r="R43" s="55">
        <f>(IF(COUNTIF(JF,Horaires3567345[[#This Row],[Date]]),MAX(0,MIN(fin_dimJF,Horaires3567345[[#This Row],[Fin corrigée si nuit]])-MAX(deb_dimJF,Horaires3567345[[#This Row],[début]])),0)+IF(COUNTIF(JF,Horaires3567345[[#This Row],[Date]]+1),MAX(0,Horaires3567345[[#This Row],[Fin corrigée si nuit]]-(1+deb_dimJF)),0))*24</f>
        <v>0</v>
      </c>
      <c r="S43" s="55">
        <f>(IF(COUNTIF(JF,Horaires3567345[[#This Row],[Date]]),MAX(0,MIN(fin_dimJF,Horaires3567345[[#This Row],[Fin corrigée si nuit]])-MAX(deb_dimJF,Horaires3567345[[#This Row],[début]])),0)+IF(COUNTIF(JF,Horaires3567345[[#This Row],[Date]]+1),MAX(0,Horaires3567345[[#This Row],[Fin corrigée si nuit]]-(1+deb_dimJF)),0))*24-
(IF(COUNTIF(JF,Horaires3567345[[#This Row],[Date]]),MAX(0,MIN(fin_dimJF,Horaires3567345[[#This Row],[PNP Fin corrigée]])-MAX(deb_dimJF,Horaires3567345[[#This Row],[PNP Début corrigé]])),0)+IF(COUNTIF(JF,Horaires3567345[[#This Row],[Date]]+1),MAX(0,Horaires3567345[[#This Row],[PNP Fin corrigée]]-(1+deb_dimJF)),0))*24</f>
        <v>0</v>
      </c>
    </row>
    <row r="44" spans="1:19" x14ac:dyDescent="0.35">
      <c r="A44" s="5"/>
      <c r="B44" s="1"/>
      <c r="C44" s="2"/>
      <c r="D44" s="2"/>
      <c r="E44" s="3"/>
      <c r="F44" s="3"/>
      <c r="G44" s="3"/>
      <c r="H44" s="3"/>
      <c r="I44" s="51">
        <f>0.1*(Horaires3567345[[#This Row],[Heures de nuit]]+Horaires3567345[[#This Row],[heures jour dimanche]]+Horaires3567345[[#This Row],[heures jour fériés]])</f>
        <v>0</v>
      </c>
      <c r="J44" s="52">
        <f>(MOD(Horaires3567345[[#This Row],[Fin]]-Horaires3567345[[#This Row],[début]],1)-MOD(Horaires3567345[[#This Row],[PNP Fin]]-Horaires3567345[[#This Row],[PNP Début]],1))*24</f>
        <v>0</v>
      </c>
      <c r="K44" s="53">
        <f>IF(Horaires3567345[[#This Row],[PNP Début]]=0,0,IF(Horaires3567345[[#This Row],[PNP Début]]&lt;Horaires3567345[[#This Row],[début]],1,0)+Horaires3567345[[#This Row],[PNP Début]])</f>
        <v>0</v>
      </c>
      <c r="L44" s="54">
        <f>IF(Horaires3567345[[#This Row],[PNP Fin]]=0,0,IF(Horaires3567345[[#This Row],[PNP Fin]]&lt;Horaires3567345[[#This Row],[début]],1,0)+Horaires3567345[[#This Row],[PNP Fin]])</f>
        <v>0</v>
      </c>
      <c r="M44" s="54">
        <f>IF(Horaires3567345[[#This Row],[Fin]]&lt;Horaires3567345[[#This Row],[début]],1,0)+Horaires3567345[[#This Row],[Fin]]</f>
        <v>0</v>
      </c>
      <c r="N44" s="35">
        <f>IF(Horaires3567345[[#This Row],[Fin]]&lt;Horaires3567345[[#This Row],[début]],MAX(0,MIN(Horaires3567345[[#This Row],[Fin corrigée si nuit]],fin_nuit)-MAX(Horaires3567345[[#This Row],[début]],deb_nuit))*24,(MAX(deb_nuit,Horaires3567345[[#This Row],[Fin]])-MAX(deb_nuit,Horaires3567345[[#This Row],[début]])+MAX(MIN(fin_nuit-1,Horaires3567345[[#This Row],[Fin]])-MIN(fin_nuit-1,Horaires3567345[[#This Row],[début]]),0))*24)</f>
        <v>0</v>
      </c>
      <c r="O44" s="55">
        <f>(MAX(0,MIN(Horaires3567345[[#This Row],[Fin corrigée si nuit]],fin_nuit)-MAX(Horaires3567345[[#This Row],[début]],deb_nuit))-IF(Horaires3567345[[#This Row],[PNP Début]]=0,0,MIN(Horaires3567345[[#This Row],[PNP Fin corrigée]],fin_nuit)-MAX(Horaires3567345[[#This Row],[PNP Début corrigé]],deb_nuit)))*24</f>
        <v>0</v>
      </c>
      <c r="P44" s="55">
        <f>(IF(WEEKDAY(Horaires3567345[[#This Row],[Date]],2)=7,MAX(0,MIN(fin_dimJF,Horaires3567345[[#This Row],[Fin corrigée si nuit]])-MAX(deb_dimJF,Horaires3567345[[#This Row],[début]])),0)+IF(WEEKDAY(Horaires3567345[[#This Row],[Date]],2)=6,MAX(0,Horaires3567345[[#This Row],[Fin corrigée si nuit]]-(1+deb_dimJF)),0))*24</f>
        <v>0</v>
      </c>
      <c r="Q44" s="55">
        <f>(IF(WEEKDAY(Horaires3567345[[#This Row],[Date]],2)=7,MAX(0,MIN(fin_dimJF,Horaires3567345[[#This Row],[Fin corrigée si nuit]])-MAX(deb_dimJF,Horaires3567345[[#This Row],[début]])),0)+IF(WEEKDAY(Horaires3567345[[#This Row],[Date]],2)=6,MAX(0,Horaires3567345[[#This Row],[Fin corrigée si nuit]]-(1+deb_dimJF)),0))*24-
(IF(WEEKDAY(Horaires3567345[[#This Row],[Date]],2)=7,MAX(0,MIN(fin_dimJF,Horaires3567345[[#This Row],[PNP Fin corrigée]])-MAX(deb_dimJF,Horaires3567345[[#This Row],[PNP Début corrigé]])),0)+IF(WEEKDAY(Horaires3567345[[#This Row],[Date]],2)=6,MAX(0,Horaires3567345[[#This Row],[PNP Fin corrigée]]-(1+deb_dimJF)),0))*24</f>
        <v>0</v>
      </c>
      <c r="R44" s="55">
        <f>(IF(COUNTIF(JF,Horaires3567345[[#This Row],[Date]]),MAX(0,MIN(fin_dimJF,Horaires3567345[[#This Row],[Fin corrigée si nuit]])-MAX(deb_dimJF,Horaires3567345[[#This Row],[début]])),0)+IF(COUNTIF(JF,Horaires3567345[[#This Row],[Date]]+1),MAX(0,Horaires3567345[[#This Row],[Fin corrigée si nuit]]-(1+deb_dimJF)),0))*24</f>
        <v>0</v>
      </c>
      <c r="S44" s="55">
        <f>(IF(COUNTIF(JF,Horaires3567345[[#This Row],[Date]]),MAX(0,MIN(fin_dimJF,Horaires3567345[[#This Row],[Fin corrigée si nuit]])-MAX(deb_dimJF,Horaires3567345[[#This Row],[début]])),0)+IF(COUNTIF(JF,Horaires3567345[[#This Row],[Date]]+1),MAX(0,Horaires3567345[[#This Row],[Fin corrigée si nuit]]-(1+deb_dimJF)),0))*24-
(IF(COUNTIF(JF,Horaires3567345[[#This Row],[Date]]),MAX(0,MIN(fin_dimJF,Horaires3567345[[#This Row],[PNP Fin corrigée]])-MAX(deb_dimJF,Horaires3567345[[#This Row],[PNP Début corrigé]])),0)+IF(COUNTIF(JF,Horaires3567345[[#This Row],[Date]]+1),MAX(0,Horaires3567345[[#This Row],[PNP Fin corrigée]]-(1+deb_dimJF)),0))*24</f>
        <v>0</v>
      </c>
    </row>
    <row r="45" spans="1:19" x14ac:dyDescent="0.35">
      <c r="A45" s="5"/>
      <c r="B45" s="1"/>
      <c r="C45" s="2"/>
      <c r="D45" s="2"/>
      <c r="E45" s="3"/>
      <c r="F45" s="3"/>
      <c r="G45" s="3"/>
      <c r="H45" s="3"/>
      <c r="I45" s="51">
        <f>0.1*(Horaires3567345[[#This Row],[Heures de nuit]]+Horaires3567345[[#This Row],[heures jour dimanche]]+Horaires3567345[[#This Row],[heures jour fériés]])</f>
        <v>0</v>
      </c>
      <c r="J45" s="52">
        <f>(MOD(Horaires3567345[[#This Row],[Fin]]-Horaires3567345[[#This Row],[début]],1)-MOD(Horaires3567345[[#This Row],[PNP Fin]]-Horaires3567345[[#This Row],[PNP Début]],1))*24</f>
        <v>0</v>
      </c>
      <c r="K45" s="53">
        <f>IF(Horaires3567345[[#This Row],[PNP Début]]=0,0,IF(Horaires3567345[[#This Row],[PNP Début]]&lt;Horaires3567345[[#This Row],[début]],1,0)+Horaires3567345[[#This Row],[PNP Début]])</f>
        <v>0</v>
      </c>
      <c r="L45" s="54">
        <f>IF(Horaires3567345[[#This Row],[PNP Fin]]=0,0,IF(Horaires3567345[[#This Row],[PNP Fin]]&lt;Horaires3567345[[#This Row],[début]],1,0)+Horaires3567345[[#This Row],[PNP Fin]])</f>
        <v>0</v>
      </c>
      <c r="M45" s="54">
        <f>IF(Horaires3567345[[#This Row],[Fin]]&lt;Horaires3567345[[#This Row],[début]],1,0)+Horaires3567345[[#This Row],[Fin]]</f>
        <v>0</v>
      </c>
      <c r="N45" s="35">
        <f>IF(Horaires3567345[[#This Row],[Fin]]&lt;Horaires3567345[[#This Row],[début]],MAX(0,MIN(Horaires3567345[[#This Row],[Fin corrigée si nuit]],fin_nuit)-MAX(Horaires3567345[[#This Row],[début]],deb_nuit))*24,(MAX(deb_nuit,Horaires3567345[[#This Row],[Fin]])-MAX(deb_nuit,Horaires3567345[[#This Row],[début]])+MAX(MIN(fin_nuit-1,Horaires3567345[[#This Row],[Fin]])-MIN(fin_nuit-1,Horaires3567345[[#This Row],[début]]),0))*24)</f>
        <v>0</v>
      </c>
      <c r="O45" s="55">
        <f>(MAX(0,MIN(Horaires3567345[[#This Row],[Fin corrigée si nuit]],fin_nuit)-MAX(Horaires3567345[[#This Row],[début]],deb_nuit))-IF(Horaires3567345[[#This Row],[PNP Début]]=0,0,MIN(Horaires3567345[[#This Row],[PNP Fin corrigée]],fin_nuit)-MAX(Horaires3567345[[#This Row],[PNP Début corrigé]],deb_nuit)))*24</f>
        <v>0</v>
      </c>
      <c r="P45" s="55">
        <f>(IF(WEEKDAY(Horaires3567345[[#This Row],[Date]],2)=7,MAX(0,MIN(fin_dimJF,Horaires3567345[[#This Row],[Fin corrigée si nuit]])-MAX(deb_dimJF,Horaires3567345[[#This Row],[début]])),0)+IF(WEEKDAY(Horaires3567345[[#This Row],[Date]],2)=6,MAX(0,Horaires3567345[[#This Row],[Fin corrigée si nuit]]-(1+deb_dimJF)),0))*24</f>
        <v>0</v>
      </c>
      <c r="Q45" s="55">
        <f>(IF(WEEKDAY(Horaires3567345[[#This Row],[Date]],2)=7,MAX(0,MIN(fin_dimJF,Horaires3567345[[#This Row],[Fin corrigée si nuit]])-MAX(deb_dimJF,Horaires3567345[[#This Row],[début]])),0)+IF(WEEKDAY(Horaires3567345[[#This Row],[Date]],2)=6,MAX(0,Horaires3567345[[#This Row],[Fin corrigée si nuit]]-(1+deb_dimJF)),0))*24-
(IF(WEEKDAY(Horaires3567345[[#This Row],[Date]],2)=7,MAX(0,MIN(fin_dimJF,Horaires3567345[[#This Row],[PNP Fin corrigée]])-MAX(deb_dimJF,Horaires3567345[[#This Row],[PNP Début corrigé]])),0)+IF(WEEKDAY(Horaires3567345[[#This Row],[Date]],2)=6,MAX(0,Horaires3567345[[#This Row],[PNP Fin corrigée]]-(1+deb_dimJF)),0))*24</f>
        <v>0</v>
      </c>
      <c r="R45" s="55">
        <f>(IF(COUNTIF(JF,Horaires3567345[[#This Row],[Date]]),MAX(0,MIN(fin_dimJF,Horaires3567345[[#This Row],[Fin corrigée si nuit]])-MAX(deb_dimJF,Horaires3567345[[#This Row],[début]])),0)+IF(COUNTIF(JF,Horaires3567345[[#This Row],[Date]]+1),MAX(0,Horaires3567345[[#This Row],[Fin corrigée si nuit]]-(1+deb_dimJF)),0))*24</f>
        <v>0</v>
      </c>
      <c r="S45" s="55">
        <f>(IF(COUNTIF(JF,Horaires3567345[[#This Row],[Date]]),MAX(0,MIN(fin_dimJF,Horaires3567345[[#This Row],[Fin corrigée si nuit]])-MAX(deb_dimJF,Horaires3567345[[#This Row],[début]])),0)+IF(COUNTIF(JF,Horaires3567345[[#This Row],[Date]]+1),MAX(0,Horaires3567345[[#This Row],[Fin corrigée si nuit]]-(1+deb_dimJF)),0))*24-
(IF(COUNTIF(JF,Horaires3567345[[#This Row],[Date]]),MAX(0,MIN(fin_dimJF,Horaires3567345[[#This Row],[PNP Fin corrigée]])-MAX(deb_dimJF,Horaires3567345[[#This Row],[PNP Début corrigé]])),0)+IF(COUNTIF(JF,Horaires3567345[[#This Row],[Date]]+1),MAX(0,Horaires3567345[[#This Row],[PNP Fin corrigée]]-(1+deb_dimJF)),0))*24</f>
        <v>0</v>
      </c>
    </row>
    <row r="46" spans="1:19" x14ac:dyDescent="0.35">
      <c r="A46" s="5"/>
      <c r="B46" s="1"/>
      <c r="C46" s="2"/>
      <c r="D46" s="2"/>
      <c r="E46" s="3"/>
      <c r="F46" s="3"/>
      <c r="G46" s="3"/>
      <c r="H46" s="3"/>
      <c r="I46" s="51">
        <f>0.1*(Horaires3567345[[#This Row],[Heures de nuit]]+Horaires3567345[[#This Row],[heures jour dimanche]]+Horaires3567345[[#This Row],[heures jour fériés]])</f>
        <v>0</v>
      </c>
      <c r="J46" s="52">
        <f>(MOD(Horaires3567345[[#This Row],[Fin]]-Horaires3567345[[#This Row],[début]],1)-MOD(Horaires3567345[[#This Row],[PNP Fin]]-Horaires3567345[[#This Row],[PNP Début]],1))*24</f>
        <v>0</v>
      </c>
      <c r="K46" s="53">
        <f>IF(Horaires3567345[[#This Row],[PNP Début]]=0,0,IF(Horaires3567345[[#This Row],[PNP Début]]&lt;Horaires3567345[[#This Row],[début]],1,0)+Horaires3567345[[#This Row],[PNP Début]])</f>
        <v>0</v>
      </c>
      <c r="L46" s="54">
        <f>IF(Horaires3567345[[#This Row],[PNP Fin]]=0,0,IF(Horaires3567345[[#This Row],[PNP Fin]]&lt;Horaires3567345[[#This Row],[début]],1,0)+Horaires3567345[[#This Row],[PNP Fin]])</f>
        <v>0</v>
      </c>
      <c r="M46" s="54">
        <f>IF(Horaires3567345[[#This Row],[Fin]]&lt;Horaires3567345[[#This Row],[début]],1,0)+Horaires3567345[[#This Row],[Fin]]</f>
        <v>0</v>
      </c>
      <c r="N46" s="35">
        <f>IF(Horaires3567345[[#This Row],[Fin]]&lt;Horaires3567345[[#This Row],[début]],MAX(0,MIN(Horaires3567345[[#This Row],[Fin corrigée si nuit]],fin_nuit)-MAX(Horaires3567345[[#This Row],[début]],deb_nuit))*24,(MAX(deb_nuit,Horaires3567345[[#This Row],[Fin]])-MAX(deb_nuit,Horaires3567345[[#This Row],[début]])+MAX(MIN(fin_nuit-1,Horaires3567345[[#This Row],[Fin]])-MIN(fin_nuit-1,Horaires3567345[[#This Row],[début]]),0))*24)</f>
        <v>0</v>
      </c>
      <c r="O46" s="55">
        <f>(MAX(0,MIN(Horaires3567345[[#This Row],[Fin corrigée si nuit]],fin_nuit)-MAX(Horaires3567345[[#This Row],[début]],deb_nuit))-IF(Horaires3567345[[#This Row],[PNP Début]]=0,0,MIN(Horaires3567345[[#This Row],[PNP Fin corrigée]],fin_nuit)-MAX(Horaires3567345[[#This Row],[PNP Début corrigé]],deb_nuit)))*24</f>
        <v>0</v>
      </c>
      <c r="P46" s="55">
        <f>(IF(WEEKDAY(Horaires3567345[[#This Row],[Date]],2)=7,MAX(0,MIN(fin_dimJF,Horaires3567345[[#This Row],[Fin corrigée si nuit]])-MAX(deb_dimJF,Horaires3567345[[#This Row],[début]])),0)+IF(WEEKDAY(Horaires3567345[[#This Row],[Date]],2)=6,MAX(0,Horaires3567345[[#This Row],[Fin corrigée si nuit]]-(1+deb_dimJF)),0))*24</f>
        <v>0</v>
      </c>
      <c r="Q46" s="55">
        <f>(IF(WEEKDAY(Horaires3567345[[#This Row],[Date]],2)=7,MAX(0,MIN(fin_dimJF,Horaires3567345[[#This Row],[Fin corrigée si nuit]])-MAX(deb_dimJF,Horaires3567345[[#This Row],[début]])),0)+IF(WEEKDAY(Horaires3567345[[#This Row],[Date]],2)=6,MAX(0,Horaires3567345[[#This Row],[Fin corrigée si nuit]]-(1+deb_dimJF)),0))*24-
(IF(WEEKDAY(Horaires3567345[[#This Row],[Date]],2)=7,MAX(0,MIN(fin_dimJF,Horaires3567345[[#This Row],[PNP Fin corrigée]])-MAX(deb_dimJF,Horaires3567345[[#This Row],[PNP Début corrigé]])),0)+IF(WEEKDAY(Horaires3567345[[#This Row],[Date]],2)=6,MAX(0,Horaires3567345[[#This Row],[PNP Fin corrigée]]-(1+deb_dimJF)),0))*24</f>
        <v>0</v>
      </c>
      <c r="R46" s="55">
        <f>(IF(COUNTIF(JF,Horaires3567345[[#This Row],[Date]]),MAX(0,MIN(fin_dimJF,Horaires3567345[[#This Row],[Fin corrigée si nuit]])-MAX(deb_dimJF,Horaires3567345[[#This Row],[début]])),0)+IF(COUNTIF(JF,Horaires3567345[[#This Row],[Date]]+1),MAX(0,Horaires3567345[[#This Row],[Fin corrigée si nuit]]-(1+deb_dimJF)),0))*24</f>
        <v>0</v>
      </c>
      <c r="S46" s="55">
        <f>(IF(COUNTIF(JF,Horaires3567345[[#This Row],[Date]]),MAX(0,MIN(fin_dimJF,Horaires3567345[[#This Row],[Fin corrigée si nuit]])-MAX(deb_dimJF,Horaires3567345[[#This Row],[début]])),0)+IF(COUNTIF(JF,Horaires3567345[[#This Row],[Date]]+1),MAX(0,Horaires3567345[[#This Row],[Fin corrigée si nuit]]-(1+deb_dimJF)),0))*24-
(IF(COUNTIF(JF,Horaires3567345[[#This Row],[Date]]),MAX(0,MIN(fin_dimJF,Horaires3567345[[#This Row],[PNP Fin corrigée]])-MAX(deb_dimJF,Horaires3567345[[#This Row],[PNP Début corrigé]])),0)+IF(COUNTIF(JF,Horaires3567345[[#This Row],[Date]]+1),MAX(0,Horaires3567345[[#This Row],[PNP Fin corrigée]]-(1+deb_dimJF)),0))*24</f>
        <v>0</v>
      </c>
    </row>
    <row r="47" spans="1:19" x14ac:dyDescent="0.35">
      <c r="A47" s="5"/>
      <c r="B47" s="1"/>
      <c r="C47" s="2"/>
      <c r="D47" s="2"/>
      <c r="E47" s="3"/>
      <c r="F47" s="3"/>
      <c r="G47" s="3"/>
      <c r="H47" s="3"/>
      <c r="I47" s="51">
        <f>0.1*(Horaires3567345[[#This Row],[Heures de nuit]]+Horaires3567345[[#This Row],[heures jour dimanche]]+Horaires3567345[[#This Row],[heures jour fériés]])</f>
        <v>0</v>
      </c>
      <c r="J47" s="52">
        <f>(MOD(Horaires3567345[[#This Row],[Fin]]-Horaires3567345[[#This Row],[début]],1)-MOD(Horaires3567345[[#This Row],[PNP Fin]]-Horaires3567345[[#This Row],[PNP Début]],1))*24</f>
        <v>0</v>
      </c>
      <c r="K47" s="53">
        <f>IF(Horaires3567345[[#This Row],[PNP Début]]=0,0,IF(Horaires3567345[[#This Row],[PNP Début]]&lt;Horaires3567345[[#This Row],[début]],1,0)+Horaires3567345[[#This Row],[PNP Début]])</f>
        <v>0</v>
      </c>
      <c r="L47" s="54">
        <f>IF(Horaires3567345[[#This Row],[PNP Fin]]=0,0,IF(Horaires3567345[[#This Row],[PNP Fin]]&lt;Horaires3567345[[#This Row],[début]],1,0)+Horaires3567345[[#This Row],[PNP Fin]])</f>
        <v>0</v>
      </c>
      <c r="M47" s="54">
        <f>IF(Horaires3567345[[#This Row],[Fin]]&lt;Horaires3567345[[#This Row],[début]],1,0)+Horaires3567345[[#This Row],[Fin]]</f>
        <v>0</v>
      </c>
      <c r="N47" s="35">
        <f>IF(Horaires3567345[[#This Row],[Fin]]&lt;Horaires3567345[[#This Row],[début]],MAX(0,MIN(Horaires3567345[[#This Row],[Fin corrigée si nuit]],fin_nuit)-MAX(Horaires3567345[[#This Row],[début]],deb_nuit))*24,(MAX(deb_nuit,Horaires3567345[[#This Row],[Fin]])-MAX(deb_nuit,Horaires3567345[[#This Row],[début]])+MAX(MIN(fin_nuit-1,Horaires3567345[[#This Row],[Fin]])-MIN(fin_nuit-1,Horaires3567345[[#This Row],[début]]),0))*24)</f>
        <v>0</v>
      </c>
      <c r="O47" s="55">
        <f>(MAX(0,MIN(Horaires3567345[[#This Row],[Fin corrigée si nuit]],fin_nuit)-MAX(Horaires3567345[[#This Row],[début]],deb_nuit))-IF(Horaires3567345[[#This Row],[PNP Début]]=0,0,MIN(Horaires3567345[[#This Row],[PNP Fin corrigée]],fin_nuit)-MAX(Horaires3567345[[#This Row],[PNP Début corrigé]],deb_nuit)))*24</f>
        <v>0</v>
      </c>
      <c r="P47" s="55">
        <f>(IF(WEEKDAY(Horaires3567345[[#This Row],[Date]],2)=7,MAX(0,MIN(fin_dimJF,Horaires3567345[[#This Row],[Fin corrigée si nuit]])-MAX(deb_dimJF,Horaires3567345[[#This Row],[début]])),0)+IF(WEEKDAY(Horaires3567345[[#This Row],[Date]],2)=6,MAX(0,Horaires3567345[[#This Row],[Fin corrigée si nuit]]-(1+deb_dimJF)),0))*24</f>
        <v>0</v>
      </c>
      <c r="Q47" s="55">
        <f>(IF(WEEKDAY(Horaires3567345[[#This Row],[Date]],2)=7,MAX(0,MIN(fin_dimJF,Horaires3567345[[#This Row],[Fin corrigée si nuit]])-MAX(deb_dimJF,Horaires3567345[[#This Row],[début]])),0)+IF(WEEKDAY(Horaires3567345[[#This Row],[Date]],2)=6,MAX(0,Horaires3567345[[#This Row],[Fin corrigée si nuit]]-(1+deb_dimJF)),0))*24-
(IF(WEEKDAY(Horaires3567345[[#This Row],[Date]],2)=7,MAX(0,MIN(fin_dimJF,Horaires3567345[[#This Row],[PNP Fin corrigée]])-MAX(deb_dimJF,Horaires3567345[[#This Row],[PNP Début corrigé]])),0)+IF(WEEKDAY(Horaires3567345[[#This Row],[Date]],2)=6,MAX(0,Horaires3567345[[#This Row],[PNP Fin corrigée]]-(1+deb_dimJF)),0))*24</f>
        <v>0</v>
      </c>
      <c r="R47" s="55">
        <f>(IF(COUNTIF(JF,Horaires3567345[[#This Row],[Date]]),MAX(0,MIN(fin_dimJF,Horaires3567345[[#This Row],[Fin corrigée si nuit]])-MAX(deb_dimJF,Horaires3567345[[#This Row],[début]])),0)+IF(COUNTIF(JF,Horaires3567345[[#This Row],[Date]]+1),MAX(0,Horaires3567345[[#This Row],[Fin corrigée si nuit]]-(1+deb_dimJF)),0))*24</f>
        <v>0</v>
      </c>
      <c r="S47" s="55">
        <f>(IF(COUNTIF(JF,Horaires3567345[[#This Row],[Date]]),MAX(0,MIN(fin_dimJF,Horaires3567345[[#This Row],[Fin corrigée si nuit]])-MAX(deb_dimJF,Horaires3567345[[#This Row],[début]])),0)+IF(COUNTIF(JF,Horaires3567345[[#This Row],[Date]]+1),MAX(0,Horaires3567345[[#This Row],[Fin corrigée si nuit]]-(1+deb_dimJF)),0))*24-
(IF(COUNTIF(JF,Horaires3567345[[#This Row],[Date]]),MAX(0,MIN(fin_dimJF,Horaires3567345[[#This Row],[PNP Fin corrigée]])-MAX(deb_dimJF,Horaires3567345[[#This Row],[PNP Début corrigé]])),0)+IF(COUNTIF(JF,Horaires3567345[[#This Row],[Date]]+1),MAX(0,Horaires3567345[[#This Row],[PNP Fin corrigée]]-(1+deb_dimJF)),0))*24</f>
        <v>0</v>
      </c>
    </row>
    <row r="48" spans="1:19" x14ac:dyDescent="0.35">
      <c r="A48" s="5"/>
      <c r="B48" s="1"/>
      <c r="C48" s="2"/>
      <c r="D48" s="2"/>
      <c r="E48" s="3"/>
      <c r="F48" s="3"/>
      <c r="G48" s="3"/>
      <c r="H48" s="3"/>
      <c r="I48" s="51">
        <f>0.1*(Horaires3567345[[#This Row],[Heures de nuit]]+Horaires3567345[[#This Row],[heures jour dimanche]]+Horaires3567345[[#This Row],[heures jour fériés]])</f>
        <v>0</v>
      </c>
      <c r="J48" s="52">
        <f>(MOD(Horaires3567345[[#This Row],[Fin]]-Horaires3567345[[#This Row],[début]],1)-MOD(Horaires3567345[[#This Row],[PNP Fin]]-Horaires3567345[[#This Row],[PNP Début]],1))*24</f>
        <v>0</v>
      </c>
      <c r="K48" s="53">
        <f>IF(Horaires3567345[[#This Row],[PNP Début]]=0,0,IF(Horaires3567345[[#This Row],[PNP Début]]&lt;Horaires3567345[[#This Row],[début]],1,0)+Horaires3567345[[#This Row],[PNP Début]])</f>
        <v>0</v>
      </c>
      <c r="L48" s="54">
        <f>IF(Horaires3567345[[#This Row],[PNP Fin]]=0,0,IF(Horaires3567345[[#This Row],[PNP Fin]]&lt;Horaires3567345[[#This Row],[début]],1,0)+Horaires3567345[[#This Row],[PNP Fin]])</f>
        <v>0</v>
      </c>
      <c r="M48" s="54">
        <f>IF(Horaires3567345[[#This Row],[Fin]]&lt;Horaires3567345[[#This Row],[début]],1,0)+Horaires3567345[[#This Row],[Fin]]</f>
        <v>0</v>
      </c>
      <c r="N48" s="35">
        <f>IF(Horaires3567345[[#This Row],[Fin]]&lt;Horaires3567345[[#This Row],[début]],MAX(0,MIN(Horaires3567345[[#This Row],[Fin corrigée si nuit]],fin_nuit)-MAX(Horaires3567345[[#This Row],[début]],deb_nuit))*24,(MAX(deb_nuit,Horaires3567345[[#This Row],[Fin]])-MAX(deb_nuit,Horaires3567345[[#This Row],[début]])+MAX(MIN(fin_nuit-1,Horaires3567345[[#This Row],[Fin]])-MIN(fin_nuit-1,Horaires3567345[[#This Row],[début]]),0))*24)</f>
        <v>0</v>
      </c>
      <c r="O48" s="55">
        <f>(MAX(0,MIN(Horaires3567345[[#This Row],[Fin corrigée si nuit]],fin_nuit)-MAX(Horaires3567345[[#This Row],[début]],deb_nuit))-IF(Horaires3567345[[#This Row],[PNP Début]]=0,0,MIN(Horaires3567345[[#This Row],[PNP Fin corrigée]],fin_nuit)-MAX(Horaires3567345[[#This Row],[PNP Début corrigé]],deb_nuit)))*24</f>
        <v>0</v>
      </c>
      <c r="P48" s="55">
        <f>(IF(WEEKDAY(Horaires3567345[[#This Row],[Date]],2)=7,MAX(0,MIN(fin_dimJF,Horaires3567345[[#This Row],[Fin corrigée si nuit]])-MAX(deb_dimJF,Horaires3567345[[#This Row],[début]])),0)+IF(WEEKDAY(Horaires3567345[[#This Row],[Date]],2)=6,MAX(0,Horaires3567345[[#This Row],[Fin corrigée si nuit]]-(1+deb_dimJF)),0))*24</f>
        <v>0</v>
      </c>
      <c r="Q48" s="55">
        <f>(IF(WEEKDAY(Horaires3567345[[#This Row],[Date]],2)=7,MAX(0,MIN(fin_dimJF,Horaires3567345[[#This Row],[Fin corrigée si nuit]])-MAX(deb_dimJF,Horaires3567345[[#This Row],[début]])),0)+IF(WEEKDAY(Horaires3567345[[#This Row],[Date]],2)=6,MAX(0,Horaires3567345[[#This Row],[Fin corrigée si nuit]]-(1+deb_dimJF)),0))*24-
(IF(WEEKDAY(Horaires3567345[[#This Row],[Date]],2)=7,MAX(0,MIN(fin_dimJF,Horaires3567345[[#This Row],[PNP Fin corrigée]])-MAX(deb_dimJF,Horaires3567345[[#This Row],[PNP Début corrigé]])),0)+IF(WEEKDAY(Horaires3567345[[#This Row],[Date]],2)=6,MAX(0,Horaires3567345[[#This Row],[PNP Fin corrigée]]-(1+deb_dimJF)),0))*24</f>
        <v>0</v>
      </c>
      <c r="R48" s="55">
        <f>(IF(COUNTIF(JF,Horaires3567345[[#This Row],[Date]]),MAX(0,MIN(fin_dimJF,Horaires3567345[[#This Row],[Fin corrigée si nuit]])-MAX(deb_dimJF,Horaires3567345[[#This Row],[début]])),0)+IF(COUNTIF(JF,Horaires3567345[[#This Row],[Date]]+1),MAX(0,Horaires3567345[[#This Row],[Fin corrigée si nuit]]-(1+deb_dimJF)),0))*24</f>
        <v>0</v>
      </c>
      <c r="S48" s="55">
        <f>(IF(COUNTIF(JF,Horaires3567345[[#This Row],[Date]]),MAX(0,MIN(fin_dimJF,Horaires3567345[[#This Row],[Fin corrigée si nuit]])-MAX(deb_dimJF,Horaires3567345[[#This Row],[début]])),0)+IF(COUNTIF(JF,Horaires3567345[[#This Row],[Date]]+1),MAX(0,Horaires3567345[[#This Row],[Fin corrigée si nuit]]-(1+deb_dimJF)),0))*24-
(IF(COUNTIF(JF,Horaires3567345[[#This Row],[Date]]),MAX(0,MIN(fin_dimJF,Horaires3567345[[#This Row],[PNP Fin corrigée]])-MAX(deb_dimJF,Horaires3567345[[#This Row],[PNP Début corrigé]])),0)+IF(COUNTIF(JF,Horaires3567345[[#This Row],[Date]]+1),MAX(0,Horaires3567345[[#This Row],[PNP Fin corrigée]]-(1+deb_dimJF)),0))*24</f>
        <v>0</v>
      </c>
    </row>
    <row r="49" spans="1:19" ht="15" thickBot="1" x14ac:dyDescent="0.4">
      <c r="A49" s="5"/>
      <c r="B49" s="1"/>
      <c r="C49" s="2"/>
      <c r="D49" s="2"/>
      <c r="E49" s="3"/>
      <c r="F49" s="3"/>
      <c r="G49" s="3"/>
      <c r="H49" s="3"/>
      <c r="I49" s="51">
        <f>0.1*(Horaires3567345[[#This Row],[Heures de nuit]]+Horaires3567345[[#This Row],[heures jour dimanche]]+Horaires3567345[[#This Row],[heures jour fériés]])</f>
        <v>0</v>
      </c>
      <c r="J49" s="52">
        <f>(MOD(Horaires3567345[[#This Row],[Fin]]-Horaires3567345[[#This Row],[début]],1)-MOD(Horaires3567345[[#This Row],[PNP Fin]]-Horaires3567345[[#This Row],[PNP Début]],1))*24</f>
        <v>0</v>
      </c>
      <c r="K49" s="53">
        <f>IF(Horaires3567345[[#This Row],[PNP Début]]=0,0,IF(Horaires3567345[[#This Row],[PNP Début]]&lt;Horaires3567345[[#This Row],[début]],1,0)+Horaires3567345[[#This Row],[PNP Début]])</f>
        <v>0</v>
      </c>
      <c r="L49" s="54">
        <f>IF(Horaires3567345[[#This Row],[PNP Fin]]=0,0,IF(Horaires3567345[[#This Row],[PNP Fin]]&lt;Horaires3567345[[#This Row],[début]],1,0)+Horaires3567345[[#This Row],[PNP Fin]])</f>
        <v>0</v>
      </c>
      <c r="M49" s="54">
        <f>IF(Horaires3567345[[#This Row],[Fin]]&lt;Horaires3567345[[#This Row],[début]],1,0)+Horaires3567345[[#This Row],[Fin]]</f>
        <v>0</v>
      </c>
      <c r="N49" s="35">
        <f>IF(Horaires3567345[[#This Row],[Fin]]&lt;Horaires3567345[[#This Row],[début]],MAX(0,MIN(Horaires3567345[[#This Row],[Fin corrigée si nuit]],fin_nuit)-MAX(Horaires3567345[[#This Row],[début]],deb_nuit))*24,(MAX(deb_nuit,Horaires3567345[[#This Row],[Fin]])-MAX(deb_nuit,Horaires3567345[[#This Row],[début]])+MAX(MIN(fin_nuit-1,Horaires3567345[[#This Row],[Fin]])-MIN(fin_nuit-1,Horaires3567345[[#This Row],[début]]),0))*24)</f>
        <v>0</v>
      </c>
      <c r="O49" s="55">
        <f>(MAX(0,MIN(Horaires3567345[[#This Row],[Fin corrigée si nuit]],fin_nuit)-MAX(Horaires3567345[[#This Row],[début]],deb_nuit))-IF(Horaires3567345[[#This Row],[PNP Début]]=0,0,MIN(Horaires3567345[[#This Row],[PNP Fin corrigée]],fin_nuit)-MAX(Horaires3567345[[#This Row],[PNP Début corrigé]],deb_nuit)))*24</f>
        <v>0</v>
      </c>
      <c r="P49" s="55">
        <f>(IF(WEEKDAY(Horaires3567345[[#This Row],[Date]],2)=7,MAX(0,MIN(fin_dimJF,Horaires3567345[[#This Row],[Fin corrigée si nuit]])-MAX(deb_dimJF,Horaires3567345[[#This Row],[début]])),0)+IF(WEEKDAY(Horaires3567345[[#This Row],[Date]],2)=6,MAX(0,Horaires3567345[[#This Row],[Fin corrigée si nuit]]-(1+deb_dimJF)),0))*24</f>
        <v>0</v>
      </c>
      <c r="Q49" s="55">
        <f>(IF(WEEKDAY(Horaires3567345[[#This Row],[Date]],2)=7,MAX(0,MIN(fin_dimJF,Horaires3567345[[#This Row],[Fin corrigée si nuit]])-MAX(deb_dimJF,Horaires3567345[[#This Row],[début]])),0)+IF(WEEKDAY(Horaires3567345[[#This Row],[Date]],2)=6,MAX(0,Horaires3567345[[#This Row],[Fin corrigée si nuit]]-(1+deb_dimJF)),0))*24-
(IF(WEEKDAY(Horaires3567345[[#This Row],[Date]],2)=7,MAX(0,MIN(fin_dimJF,Horaires3567345[[#This Row],[PNP Fin corrigée]])-MAX(deb_dimJF,Horaires3567345[[#This Row],[PNP Début corrigé]])),0)+IF(WEEKDAY(Horaires3567345[[#This Row],[Date]],2)=6,MAX(0,Horaires3567345[[#This Row],[PNP Fin corrigée]]-(1+deb_dimJF)),0))*24</f>
        <v>0</v>
      </c>
      <c r="R49" s="55">
        <f>(IF(COUNTIF(JF,Horaires3567345[[#This Row],[Date]]),MAX(0,MIN(fin_dimJF,Horaires3567345[[#This Row],[Fin corrigée si nuit]])-MAX(deb_dimJF,Horaires3567345[[#This Row],[début]])),0)+IF(COUNTIF(JF,Horaires3567345[[#This Row],[Date]]+1),MAX(0,Horaires3567345[[#This Row],[Fin corrigée si nuit]]-(1+deb_dimJF)),0))*24</f>
        <v>0</v>
      </c>
      <c r="S49" s="55">
        <f>(IF(COUNTIF(JF,Horaires3567345[[#This Row],[Date]]),MAX(0,MIN(fin_dimJF,Horaires3567345[[#This Row],[Fin corrigée si nuit]])-MAX(deb_dimJF,Horaires3567345[[#This Row],[début]])),0)+IF(COUNTIF(JF,Horaires3567345[[#This Row],[Date]]+1),MAX(0,Horaires3567345[[#This Row],[Fin corrigée si nuit]]-(1+deb_dimJF)),0))*24-
(IF(COUNTIF(JF,Horaires3567345[[#This Row],[Date]]),MAX(0,MIN(fin_dimJF,Horaires3567345[[#This Row],[PNP Fin corrigée]])-MAX(deb_dimJF,Horaires3567345[[#This Row],[PNP Début corrigé]])),0)+IF(COUNTIF(JF,Horaires3567345[[#This Row],[Date]]+1),MAX(0,Horaires3567345[[#This Row],[PNP Fin corrigée]]-(1+deb_dimJF)),0))*24</f>
        <v>0</v>
      </c>
    </row>
    <row r="50" spans="1:19" ht="16" thickBot="1" x14ac:dyDescent="0.4">
      <c r="A50" s="56"/>
      <c r="B50" s="19"/>
      <c r="C50" s="19"/>
      <c r="D50" s="19"/>
      <c r="E50" s="113" t="s">
        <v>29</v>
      </c>
      <c r="F50" s="114"/>
      <c r="G50" s="114"/>
      <c r="H50" s="115"/>
      <c r="I50" s="57">
        <f>SUM(Horaires3567345[Majoration])</f>
        <v>0</v>
      </c>
      <c r="J50" s="58">
        <f>SUM(Horaires3567345[Heures totales payées])</f>
        <v>0</v>
      </c>
      <c r="K50" s="19"/>
      <c r="L50" s="19"/>
      <c r="M50" s="19"/>
      <c r="N50" s="19"/>
      <c r="O50" s="19"/>
      <c r="P50" s="19"/>
      <c r="Q50" s="19"/>
      <c r="R50" s="19"/>
      <c r="S50" s="19"/>
    </row>
    <row r="51" spans="1:19" ht="17.399999999999999" customHeight="1" x14ac:dyDescent="0.35">
      <c r="A51" s="116" t="s">
        <v>30</v>
      </c>
      <c r="B51" s="116"/>
      <c r="C51" s="116"/>
      <c r="D51" s="116"/>
      <c r="E51" s="19"/>
      <c r="F51" s="19"/>
      <c r="G51" s="117" t="s">
        <v>31</v>
      </c>
      <c r="H51" s="117"/>
      <c r="I51" s="117"/>
      <c r="J51" s="117"/>
      <c r="K51" s="19"/>
      <c r="L51" s="19"/>
      <c r="M51" s="19"/>
      <c r="N51" s="19"/>
      <c r="O51" s="19"/>
      <c r="P51" s="19"/>
      <c r="Q51" s="19"/>
      <c r="R51" s="19"/>
      <c r="S51" s="19"/>
    </row>
    <row r="52" spans="1:19" x14ac:dyDescent="0.35">
      <c r="A52" s="118"/>
      <c r="B52" s="119"/>
      <c r="C52" s="119"/>
      <c r="D52" s="120"/>
      <c r="E52" s="56"/>
      <c r="F52" s="19"/>
      <c r="G52" s="118"/>
      <c r="H52" s="119"/>
      <c r="I52" s="119"/>
      <c r="J52" s="119"/>
      <c r="K52" s="19"/>
      <c r="L52" s="19"/>
      <c r="M52" s="19"/>
      <c r="N52" s="19"/>
      <c r="O52" s="19"/>
      <c r="P52" s="19"/>
      <c r="Q52" s="19"/>
      <c r="R52" s="19"/>
      <c r="S52" s="19"/>
    </row>
    <row r="53" spans="1:19" x14ac:dyDescent="0.35">
      <c r="A53" s="121"/>
      <c r="B53" s="122"/>
      <c r="C53" s="122"/>
      <c r="D53" s="123"/>
      <c r="E53" s="19"/>
      <c r="F53" s="19"/>
      <c r="G53" s="121"/>
      <c r="H53" s="122"/>
      <c r="I53" s="122"/>
      <c r="J53" s="122"/>
      <c r="K53" s="19"/>
      <c r="L53" s="19"/>
      <c r="M53" s="19"/>
      <c r="N53" s="19"/>
      <c r="O53" s="19"/>
      <c r="P53" s="19"/>
      <c r="Q53" s="19"/>
      <c r="R53" s="19"/>
      <c r="S53" s="19"/>
    </row>
    <row r="54" spans="1:19" ht="7.75" customHeight="1" x14ac:dyDescent="0.35">
      <c r="A54" s="124"/>
      <c r="B54" s="125"/>
      <c r="C54" s="125"/>
      <c r="D54" s="126"/>
      <c r="E54" s="56"/>
      <c r="F54" s="19"/>
      <c r="G54" s="124"/>
      <c r="H54" s="125"/>
      <c r="I54" s="125"/>
      <c r="J54" s="125"/>
      <c r="K54" s="19"/>
      <c r="L54" s="19"/>
      <c r="M54" s="19"/>
      <c r="N54" s="19"/>
      <c r="O54" s="19"/>
      <c r="P54" s="19"/>
      <c r="Q54" s="19"/>
      <c r="R54" s="19"/>
      <c r="S54" s="19"/>
    </row>
    <row r="55" spans="1:19" x14ac:dyDescent="0.35">
      <c r="A55" s="56"/>
      <c r="B55" s="19"/>
      <c r="C55" s="19"/>
      <c r="D55" s="19"/>
      <c r="E55" s="19"/>
      <c r="F55" s="19"/>
      <c r="G55" s="19"/>
      <c r="H55" s="19"/>
      <c r="I55" s="19"/>
      <c r="J55" s="62"/>
      <c r="K55" s="19"/>
      <c r="L55" s="19"/>
      <c r="M55" s="19"/>
      <c r="N55" s="19"/>
      <c r="O55" s="19"/>
      <c r="P55" s="19"/>
      <c r="Q55" s="19"/>
      <c r="R55" s="19"/>
      <c r="S55" s="19"/>
    </row>
    <row r="56" spans="1:19" x14ac:dyDescent="0.35">
      <c r="A56" s="19"/>
      <c r="B56" s="19"/>
      <c r="C56" s="19"/>
      <c r="D56" s="19"/>
      <c r="E56" s="19"/>
      <c r="F56" s="19"/>
      <c r="G56" s="19"/>
      <c r="H56" s="19"/>
      <c r="I56" s="19"/>
      <c r="J56" s="20"/>
      <c r="K56" s="19"/>
      <c r="L56" s="19"/>
      <c r="M56" s="19"/>
      <c r="N56" s="19"/>
      <c r="O56" s="19"/>
      <c r="P56" s="19"/>
      <c r="Q56" s="19"/>
      <c r="R56" s="19"/>
      <c r="S56" s="19"/>
    </row>
    <row r="57" spans="1:19" x14ac:dyDescent="0.35">
      <c r="A57" s="19"/>
      <c r="B57" s="19"/>
      <c r="C57" s="19"/>
      <c r="D57" s="19"/>
      <c r="E57" s="19"/>
      <c r="F57" s="19"/>
      <c r="G57" s="19"/>
      <c r="H57" s="19"/>
      <c r="I57" s="19"/>
      <c r="J57" s="20"/>
      <c r="K57" s="19"/>
      <c r="L57" s="19"/>
      <c r="M57" s="19"/>
      <c r="N57" s="19"/>
      <c r="O57" s="19"/>
      <c r="P57" s="19"/>
      <c r="Q57" s="19"/>
      <c r="R57" s="19"/>
      <c r="S57" s="19"/>
    </row>
    <row r="58" spans="1:19" x14ac:dyDescent="0.35">
      <c r="A58" s="19"/>
      <c r="B58" s="19"/>
      <c r="C58" s="19"/>
      <c r="D58" s="19"/>
      <c r="E58" s="19"/>
      <c r="F58" s="19"/>
      <c r="G58" s="19"/>
      <c r="H58" s="19"/>
      <c r="I58" s="19"/>
      <c r="J58" s="20"/>
      <c r="K58" s="19"/>
      <c r="L58" s="19"/>
      <c r="M58" s="19"/>
      <c r="N58" s="19"/>
      <c r="O58" s="19"/>
      <c r="P58" s="19"/>
      <c r="Q58" s="19"/>
      <c r="R58" s="19"/>
      <c r="S58" s="19"/>
    </row>
    <row r="59" spans="1:19" x14ac:dyDescent="0.35">
      <c r="A59" s="19"/>
      <c r="B59" s="19"/>
      <c r="C59" s="19"/>
      <c r="D59" s="19"/>
      <c r="E59" s="19"/>
      <c r="F59" s="19"/>
      <c r="G59" s="19"/>
      <c r="H59" s="19"/>
      <c r="I59" s="19"/>
      <c r="J59" s="20"/>
      <c r="K59" s="19"/>
      <c r="L59" s="19"/>
      <c r="M59" s="19"/>
      <c r="N59" s="19"/>
      <c r="O59" s="19"/>
      <c r="P59" s="19"/>
      <c r="Q59" s="19"/>
      <c r="R59" s="19"/>
      <c r="S59" s="19"/>
    </row>
    <row r="60" spans="1:19" x14ac:dyDescent="0.35">
      <c r="A60" s="19"/>
      <c r="B60" s="19"/>
      <c r="C60" s="19"/>
      <c r="D60" s="19"/>
      <c r="E60" s="19"/>
      <c r="F60" s="19"/>
      <c r="G60" s="19"/>
      <c r="H60" s="19"/>
      <c r="I60" s="19"/>
      <c r="J60" s="20"/>
      <c r="K60" s="19"/>
      <c r="L60" s="19"/>
      <c r="M60" s="19"/>
      <c r="N60" s="19"/>
      <c r="O60" s="19"/>
      <c r="P60" s="19"/>
      <c r="Q60" s="19"/>
      <c r="R60" s="19"/>
      <c r="S60" s="19"/>
    </row>
  </sheetData>
  <sheetProtection selectLockedCells="1"/>
  <mergeCells count="19">
    <mergeCell ref="E50:H50"/>
    <mergeCell ref="A51:D51"/>
    <mergeCell ref="G51:J51"/>
    <mergeCell ref="A52:D54"/>
    <mergeCell ref="G52:J54"/>
    <mergeCell ref="A1:B2"/>
    <mergeCell ref="A3:J4"/>
    <mergeCell ref="D5:F5"/>
    <mergeCell ref="G5:H5"/>
    <mergeCell ref="J9:J11"/>
    <mergeCell ref="C10:C11"/>
    <mergeCell ref="D10:D11"/>
    <mergeCell ref="E10:F10"/>
    <mergeCell ref="G10:H10"/>
    <mergeCell ref="A9:A11"/>
    <mergeCell ref="B9:B11"/>
    <mergeCell ref="C9:D9"/>
    <mergeCell ref="E9:H9"/>
    <mergeCell ref="I9:I11"/>
  </mergeCells>
  <dataValidations count="3">
    <dataValidation allowBlank="1" showInputMessage="1" showErrorMessage="1" error="Tapez les heures sous le format_x000a_00:00" sqref="K12:N49"/>
    <dataValidation type="time" allowBlank="1" showInputMessage="1" showErrorMessage="1" error="Tapez les heures sous le format_x000a_00:00" sqref="C13:H49">
      <formula1>0</formula1>
      <formula2>0.999305555555556</formula2>
    </dataValidation>
    <dataValidation type="date" operator="greaterThan" allowBlank="1" showInputMessage="1" showErrorMessage="1" error="Tapez le mois sous le format suivant_x000a_09/17" promptTitle="Mois du relevé" sqref="I5:J5">
      <formula1>42736</formula1>
    </dataValidation>
  </dataValidations>
  <printOptions horizontalCentered="1"/>
  <pageMargins left="0" right="0" top="0" bottom="0" header="0" footer="0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8193" r:id="rId4" name="CommandButton1">
          <controlPr defaultSize="0" print="0" autoLine="0" r:id="rId5">
            <anchor moveWithCells="1">
              <from>
                <xdr:col>9</xdr:col>
                <xdr:colOff>774700</xdr:colOff>
                <xdr:row>0</xdr:row>
                <xdr:rowOff>177800</xdr:rowOff>
              </from>
              <to>
                <xdr:col>20</xdr:col>
                <xdr:colOff>0</xdr:colOff>
                <xdr:row>4</xdr:row>
                <xdr:rowOff>63500</xdr:rowOff>
              </to>
            </anchor>
          </controlPr>
        </control>
      </mc:Choice>
      <mc:Fallback>
        <control shapeId="8193" r:id="rId4" name="CommandButton1"/>
      </mc:Fallback>
    </mc:AlternateContent>
  </controls>
  <tableParts count="1">
    <tablePart r:id="rId6"/>
  </tableParts>
</worksheet>
</file>

<file path=xl/worksheets/sheet9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9"/>
  <dimension ref="A1:S60"/>
  <sheetViews>
    <sheetView workbookViewId="0">
      <selection activeCell="U10" sqref="U10"/>
    </sheetView>
  </sheetViews>
  <sheetFormatPr baseColWidth="10" defaultRowHeight="14.5" x14ac:dyDescent="0.35"/>
  <cols>
    <col min="1" max="1" width="20.453125" customWidth="1"/>
    <col min="2" max="2" width="12.90625" customWidth="1"/>
    <col min="3" max="3" width="8.90625" customWidth="1"/>
    <col min="4" max="4" width="7.453125" customWidth="1"/>
    <col min="5" max="5" width="7" customWidth="1"/>
    <col min="6" max="6" width="6.81640625" customWidth="1"/>
    <col min="7" max="7" width="7" customWidth="1"/>
    <col min="8" max="8" width="7.81640625" customWidth="1"/>
    <col min="9" max="9" width="10.81640625" customWidth="1"/>
    <col min="10" max="10" width="11.54296875" style="15" customWidth="1"/>
    <col min="11" max="11" width="14.453125" hidden="1" customWidth="1"/>
    <col min="12" max="12" width="12.08984375" hidden="1" customWidth="1"/>
    <col min="13" max="13" width="15" hidden="1" customWidth="1"/>
    <col min="14" max="15" width="13.81640625" hidden="1" customWidth="1"/>
    <col min="16" max="19" width="15" hidden="1" customWidth="1"/>
  </cols>
  <sheetData>
    <row r="1" spans="1:19" ht="15.65" customHeight="1" x14ac:dyDescent="0.35">
      <c r="A1" s="101" t="s">
        <v>48</v>
      </c>
      <c r="B1" s="101"/>
      <c r="C1" s="16"/>
      <c r="D1" s="16"/>
      <c r="E1" s="17"/>
      <c r="F1" s="17"/>
      <c r="G1" s="17"/>
      <c r="H1" s="18" t="s">
        <v>35</v>
      </c>
      <c r="I1" s="18"/>
      <c r="J1" s="18"/>
      <c r="K1" s="16"/>
      <c r="L1" s="16"/>
      <c r="M1" s="16"/>
      <c r="N1" s="16"/>
      <c r="O1" s="19"/>
      <c r="P1" s="19"/>
      <c r="Q1" s="19"/>
      <c r="R1" s="19"/>
      <c r="S1" s="19"/>
    </row>
    <row r="2" spans="1:19" ht="14.4" customHeight="1" x14ac:dyDescent="0.35">
      <c r="A2" s="101"/>
      <c r="B2" s="101"/>
      <c r="C2" s="16"/>
      <c r="D2" s="16"/>
      <c r="E2" s="16"/>
      <c r="F2" s="16"/>
      <c r="G2" s="16"/>
      <c r="H2" s="16"/>
      <c r="I2" s="16"/>
      <c r="J2" s="20"/>
      <c r="K2" s="16"/>
      <c r="L2" s="16"/>
      <c r="M2" s="16"/>
      <c r="N2" s="16"/>
      <c r="O2" s="19"/>
      <c r="P2" s="19"/>
      <c r="Q2" s="19"/>
      <c r="R2" s="19"/>
      <c r="S2" s="19"/>
    </row>
    <row r="3" spans="1:19" ht="14.4" customHeight="1" x14ac:dyDescent="0.35">
      <c r="A3" s="102" t="s">
        <v>37</v>
      </c>
      <c r="B3" s="102"/>
      <c r="C3" s="102"/>
      <c r="D3" s="102"/>
      <c r="E3" s="102"/>
      <c r="F3" s="102"/>
      <c r="G3" s="102"/>
      <c r="H3" s="102"/>
      <c r="I3" s="102"/>
      <c r="J3" s="102"/>
      <c r="K3" s="16"/>
      <c r="L3" s="16"/>
      <c r="M3" s="16"/>
      <c r="N3" s="16"/>
      <c r="O3" s="19"/>
      <c r="P3" s="19"/>
      <c r="Q3" s="19"/>
      <c r="R3" s="19"/>
      <c r="S3" s="19"/>
    </row>
    <row r="4" spans="1:19" ht="19.25" customHeight="1" thickBot="1" x14ac:dyDescent="0.4">
      <c r="A4" s="103"/>
      <c r="B4" s="103"/>
      <c r="C4" s="103"/>
      <c r="D4" s="103"/>
      <c r="E4" s="103"/>
      <c r="F4" s="103"/>
      <c r="G4" s="103"/>
      <c r="H4" s="103"/>
      <c r="I4" s="103"/>
      <c r="J4" s="103"/>
      <c r="K4" s="19"/>
      <c r="L4" s="19"/>
      <c r="M4" s="19"/>
      <c r="N4" s="19"/>
      <c r="O4" s="19"/>
      <c r="P4" s="19"/>
      <c r="Q4" s="19"/>
      <c r="R4" s="19"/>
      <c r="S4" s="19"/>
    </row>
    <row r="5" spans="1:19" ht="19.75" customHeight="1" x14ac:dyDescent="0.35">
      <c r="A5" s="95" t="s">
        <v>113</v>
      </c>
      <c r="B5" s="96">
        <f>'Janvier 18'!B5</f>
        <v>0</v>
      </c>
      <c r="C5" s="21" t="s">
        <v>36</v>
      </c>
      <c r="D5" s="104">
        <f>'Janvier 18'!D5:F5</f>
        <v>0</v>
      </c>
      <c r="E5" s="105"/>
      <c r="F5" s="105"/>
      <c r="G5" s="106" t="s">
        <v>22</v>
      </c>
      <c r="H5" s="106"/>
      <c r="I5" s="64" t="str">
        <f ca="1">MID(CELL("filename",A1),FIND("]",CELL("filename",A1))+1,99)</f>
        <v>Juin 18</v>
      </c>
      <c r="J5" s="97"/>
      <c r="K5" s="19"/>
      <c r="L5" s="19"/>
      <c r="M5" s="19"/>
      <c r="N5" s="19"/>
      <c r="O5" s="19"/>
      <c r="P5" s="19"/>
      <c r="Q5" s="19"/>
      <c r="R5" s="19"/>
      <c r="S5" s="19"/>
    </row>
    <row r="6" spans="1:19" ht="9.65" customHeight="1" x14ac:dyDescent="0.35">
      <c r="A6" s="22"/>
      <c r="B6" s="23"/>
      <c r="C6" s="23"/>
      <c r="D6" s="23"/>
      <c r="E6" s="23"/>
      <c r="F6" s="23"/>
      <c r="G6" s="23"/>
      <c r="H6" s="23"/>
      <c r="I6" s="23"/>
      <c r="J6" s="24"/>
      <c r="K6" s="19"/>
      <c r="L6" s="19"/>
      <c r="M6" s="19"/>
      <c r="N6" s="19"/>
      <c r="O6" s="19"/>
      <c r="P6" s="19"/>
      <c r="Q6" s="19"/>
      <c r="R6" s="19"/>
      <c r="S6" s="19"/>
    </row>
    <row r="7" spans="1:19" ht="15" thickBot="1" x14ac:dyDescent="0.4">
      <c r="A7" s="59" t="s">
        <v>23</v>
      </c>
      <c r="B7" s="98">
        <f>'Janvier 18'!B7</f>
        <v>0</v>
      </c>
      <c r="C7" s="25" t="s">
        <v>24</v>
      </c>
      <c r="D7" s="25"/>
      <c r="E7" s="98">
        <f>'Janvier 18'!E7</f>
        <v>0</v>
      </c>
      <c r="F7" s="25"/>
      <c r="G7" s="25"/>
      <c r="H7" s="25"/>
      <c r="I7" s="25"/>
      <c r="J7" s="26"/>
      <c r="K7" s="19"/>
      <c r="L7" s="19"/>
      <c r="M7" s="19"/>
      <c r="N7" s="19"/>
      <c r="O7" s="19"/>
      <c r="P7" s="19"/>
      <c r="Q7" s="19"/>
      <c r="R7" s="19"/>
      <c r="S7" s="19"/>
    </row>
    <row r="8" spans="1:19" ht="9.65" customHeight="1" x14ac:dyDescent="0.35">
      <c r="A8" s="19"/>
      <c r="B8" s="19"/>
      <c r="C8" s="19"/>
      <c r="D8" s="19"/>
      <c r="E8" s="19"/>
      <c r="F8" s="19"/>
      <c r="G8" s="19"/>
      <c r="H8" s="19"/>
      <c r="I8" s="19"/>
      <c r="J8" s="20"/>
      <c r="K8" s="19"/>
      <c r="L8" s="19"/>
      <c r="M8" s="19"/>
      <c r="N8" s="19"/>
      <c r="O8" s="19"/>
      <c r="P8" s="19"/>
      <c r="Q8" s="19"/>
      <c r="R8" s="19"/>
      <c r="S8" s="19"/>
    </row>
    <row r="9" spans="1:19" ht="16.75" customHeight="1" x14ac:dyDescent="0.35">
      <c r="A9" s="111" t="s">
        <v>0</v>
      </c>
      <c r="B9" s="111" t="s">
        <v>1</v>
      </c>
      <c r="C9" s="111" t="s">
        <v>2</v>
      </c>
      <c r="D9" s="111"/>
      <c r="E9" s="110" t="s">
        <v>25</v>
      </c>
      <c r="F9" s="110"/>
      <c r="G9" s="110"/>
      <c r="H9" s="110"/>
      <c r="I9" s="112" t="s">
        <v>21</v>
      </c>
      <c r="J9" s="108" t="s">
        <v>65</v>
      </c>
      <c r="K9" s="19"/>
      <c r="L9" s="19"/>
      <c r="M9" s="19"/>
      <c r="N9" s="19"/>
      <c r="O9" s="19"/>
      <c r="P9" s="19"/>
      <c r="Q9" s="19"/>
      <c r="R9" s="19"/>
      <c r="S9" s="19"/>
    </row>
    <row r="10" spans="1:19" x14ac:dyDescent="0.35">
      <c r="A10" s="111"/>
      <c r="B10" s="111"/>
      <c r="C10" s="109" t="s">
        <v>3</v>
      </c>
      <c r="D10" s="109" t="s">
        <v>4</v>
      </c>
      <c r="E10" s="110" t="s">
        <v>26</v>
      </c>
      <c r="F10" s="110"/>
      <c r="G10" s="110" t="s">
        <v>27</v>
      </c>
      <c r="H10" s="110"/>
      <c r="I10" s="112"/>
      <c r="J10" s="108"/>
      <c r="K10" s="19"/>
      <c r="L10" s="19"/>
      <c r="M10" s="19"/>
      <c r="N10" s="19"/>
      <c r="O10" s="19"/>
      <c r="P10" s="19"/>
      <c r="Q10" s="19"/>
      <c r="R10" s="19"/>
      <c r="S10" s="19"/>
    </row>
    <row r="11" spans="1:19" x14ac:dyDescent="0.35">
      <c r="A11" s="111"/>
      <c r="B11" s="111"/>
      <c r="C11" s="109"/>
      <c r="D11" s="109"/>
      <c r="E11" s="72" t="s">
        <v>28</v>
      </c>
      <c r="F11" s="72" t="s">
        <v>4</v>
      </c>
      <c r="G11" s="72" t="s">
        <v>28</v>
      </c>
      <c r="H11" s="72" t="s">
        <v>4</v>
      </c>
      <c r="I11" s="112"/>
      <c r="J11" s="108"/>
      <c r="K11" s="27"/>
      <c r="L11" s="19"/>
      <c r="M11" s="19"/>
      <c r="N11" s="19"/>
      <c r="O11" s="19"/>
      <c r="P11" s="19"/>
      <c r="Q11" s="19"/>
      <c r="R11" s="19"/>
      <c r="S11" s="19"/>
    </row>
    <row r="12" spans="1:19" s="8" customFormat="1" ht="43.5" hidden="1" x14ac:dyDescent="0.35">
      <c r="A12" s="28" t="s">
        <v>0</v>
      </c>
      <c r="B12" s="29" t="s">
        <v>1</v>
      </c>
      <c r="C12" s="29" t="s">
        <v>3</v>
      </c>
      <c r="D12" s="29" t="s">
        <v>4</v>
      </c>
      <c r="E12" s="29" t="s">
        <v>8</v>
      </c>
      <c r="F12" s="29" t="s">
        <v>9</v>
      </c>
      <c r="G12" s="29" t="s">
        <v>10</v>
      </c>
      <c r="H12" s="29" t="s">
        <v>11</v>
      </c>
      <c r="I12" s="30" t="s">
        <v>21</v>
      </c>
      <c r="J12" s="29" t="s">
        <v>12</v>
      </c>
      <c r="K12" s="29" t="s">
        <v>18</v>
      </c>
      <c r="L12" s="29" t="s">
        <v>19</v>
      </c>
      <c r="M12" s="29" t="s">
        <v>17</v>
      </c>
      <c r="N12" s="29" t="s">
        <v>32</v>
      </c>
      <c r="O12" s="29" t="s">
        <v>20</v>
      </c>
      <c r="P12" s="29" t="s">
        <v>5</v>
      </c>
      <c r="Q12" s="29" t="s">
        <v>33</v>
      </c>
      <c r="R12" s="31" t="s">
        <v>6</v>
      </c>
      <c r="S12" s="31" t="s">
        <v>34</v>
      </c>
    </row>
    <row r="13" spans="1:19" x14ac:dyDescent="0.35">
      <c r="A13" s="5"/>
      <c r="B13" s="1"/>
      <c r="C13" s="2"/>
      <c r="D13" s="2"/>
      <c r="E13" s="3"/>
      <c r="F13" s="3"/>
      <c r="G13" s="3"/>
      <c r="H13" s="3"/>
      <c r="I13" s="32">
        <f>0.1*(Horaires356739[[#This Row],[Heures de nuit]]+Horaires356739[[#This Row],[heures jour dimanche]]+Horaires356739[[#This Row],[heures jour fériés]])</f>
        <v>0</v>
      </c>
      <c r="J13" s="33">
        <f>(MOD(Horaires356739[[#This Row],[Fin]]-Horaires356739[[#This Row],[début]],1)-MOD(Horaires356739[[#This Row],[PNP Fin]]-Horaires356739[[#This Row],[PNP Début]],1))*24</f>
        <v>0</v>
      </c>
      <c r="K13" s="34">
        <f>IF(Horaires356739[[#This Row],[PNP Début]]=0,0,IF(Horaires356739[[#This Row],[PNP Début]]&lt;Horaires356739[[#This Row],[début]],1,0)+Horaires356739[[#This Row],[PNP Début]])</f>
        <v>0</v>
      </c>
      <c r="L13" s="34">
        <f>IF(Horaires356739[[#This Row],[PNP Fin]]=0,0,IF(Horaires356739[[#This Row],[PNP Fin]]&lt;Horaires356739[[#This Row],[début]],1,0)+Horaires356739[[#This Row],[PNP Fin]])</f>
        <v>0</v>
      </c>
      <c r="M13" s="34">
        <f>IF(Horaires356739[[#This Row],[Fin]]&lt;Horaires356739[[#This Row],[début]],1,0)+Horaires356739[[#This Row],[Fin]]</f>
        <v>0</v>
      </c>
      <c r="N13" s="35">
        <f>IF(Horaires356739[[#This Row],[Fin]]&lt;Horaires356739[[#This Row],[début]],MAX(0,MIN(Horaires356739[[#This Row],[Fin corrigée si nuit]],fin_nuit)-MAX(Horaires356739[[#This Row],[début]],deb_nuit))*24,(MAX(deb_nuit,Horaires356739[[#This Row],[Fin]])-MAX(deb_nuit,Horaires356739[[#This Row],[début]])+MAX(MIN(fin_nuit-1,Horaires356739[[#This Row],[Fin]])-MIN(fin_nuit-1,Horaires356739[[#This Row],[début]]),0))*24)</f>
        <v>0</v>
      </c>
      <c r="O13" s="35">
        <f>(MAX(0,MIN(Horaires356739[[#This Row],[Fin corrigée si nuit]],fin_nuit)-MAX(Horaires356739[[#This Row],[début]],deb_nuit))-IF(Horaires356739[[#This Row],[PNP Début]]=0,0,MIN(Horaires356739[[#This Row],[PNP Fin corrigée]],fin_nuit)-MAX(Horaires356739[[#This Row],[PNP Début corrigé]],deb_nuit)))*24</f>
        <v>0</v>
      </c>
      <c r="P13" s="35">
        <f>(IF(WEEKDAY(Horaires356739[[#This Row],[Date]],2)=7,MAX(0,MIN(fin_dimJF,Horaires356739[[#This Row],[Fin corrigée si nuit]])-MAX(deb_dimJF,Horaires356739[[#This Row],[début]])),0)+IF(WEEKDAY(Horaires356739[[#This Row],[Date]],2)=6,MAX(0,Horaires356739[[#This Row],[Fin corrigée si nuit]]-(1+deb_dimJF)),0))*24</f>
        <v>0</v>
      </c>
      <c r="Q13" s="35">
        <f>(IF(WEEKDAY(Horaires356739[[#This Row],[Date]],2)=7,MAX(0,MIN(fin_dimJF,Horaires356739[[#This Row],[Fin corrigée si nuit]])-MAX(deb_dimJF,Horaires356739[[#This Row],[début]])),0)+IF(WEEKDAY(Horaires356739[[#This Row],[Date]],2)=6,MAX(0,Horaires356739[[#This Row],[Fin corrigée si nuit]]-(1+deb_dimJF)),0))*24-
(IF(WEEKDAY(Horaires356739[[#This Row],[Date]],2)=7,MAX(0,MIN(fin_dimJF,Horaires356739[[#This Row],[PNP Fin corrigée]])-MAX(deb_dimJF,Horaires356739[[#This Row],[PNP Début corrigé]])),0)+IF(WEEKDAY(Horaires356739[[#This Row],[Date]],2)=6,MAX(0,Horaires356739[[#This Row],[PNP Fin corrigée]]-(1+deb_dimJF)),0))*24</f>
        <v>0</v>
      </c>
      <c r="R13" s="36">
        <f>(IF(COUNTIF(JF,Horaires356739[[#This Row],[Date]]),MAX(0,MIN(fin_dimJF,Horaires356739[[#This Row],[Fin corrigée si nuit]])-MAX(deb_dimJF,Horaires356739[[#This Row],[début]])),0)+IF(COUNTIF(JF,Horaires356739[[#This Row],[Date]]+1),MAX(0,Horaires356739[[#This Row],[Fin corrigée si nuit]]-(1+deb_dimJF)),0))*24</f>
        <v>0</v>
      </c>
      <c r="S13" s="36">
        <f>(IF(COUNTIF(JF,Horaires356739[[#This Row],[Date]]),MAX(0,MIN(fin_dimJF,Horaires356739[[#This Row],[Fin corrigée si nuit]])-MAX(deb_dimJF,Horaires356739[[#This Row],[début]])),0)+IF(COUNTIF(JF,Horaires356739[[#This Row],[Date]]+1),MAX(0,Horaires356739[[#This Row],[Fin corrigée si nuit]]-(1+deb_dimJF)),0))*24-
(IF(COUNTIF(JF,Horaires356739[[#This Row],[Date]]),MAX(0,MIN(fin_dimJF,Horaires356739[[#This Row],[PNP Fin corrigée]])-MAX(deb_dimJF,Horaires356739[[#This Row],[PNP Début corrigé]])),0)+IF(COUNTIF(JF,Horaires356739[[#This Row],[Date]]+1),MAX(0,Horaires356739[[#This Row],[PNP Fin corrigée]]-(1+deb_dimJF)),0))*24</f>
        <v>0</v>
      </c>
    </row>
    <row r="14" spans="1:19" x14ac:dyDescent="0.35">
      <c r="A14" s="5"/>
      <c r="B14" s="1"/>
      <c r="C14" s="2"/>
      <c r="D14" s="2"/>
      <c r="E14" s="3"/>
      <c r="F14" s="3"/>
      <c r="G14" s="3"/>
      <c r="H14" s="3"/>
      <c r="I14" s="32">
        <f>0.1*(Horaires356739[[#This Row],[Heures de nuit]]+Horaires356739[[#This Row],[heures jour dimanche]]+Horaires356739[[#This Row],[heures jour fériés]])</f>
        <v>0</v>
      </c>
      <c r="J14" s="33">
        <f>(MOD(Horaires356739[[#This Row],[Fin]]-Horaires356739[[#This Row],[début]],1)-MOD(Horaires356739[[#This Row],[PNP Fin]]-Horaires356739[[#This Row],[PNP Début]],1))*24</f>
        <v>0</v>
      </c>
      <c r="K14" s="34">
        <f>IF(Horaires356739[[#This Row],[PNP Début]]=0,0,IF(Horaires356739[[#This Row],[PNP Début]]&lt;Horaires356739[[#This Row],[début]],1,0)+Horaires356739[[#This Row],[PNP Début]])</f>
        <v>0</v>
      </c>
      <c r="L14" s="34">
        <f>IF(Horaires356739[[#This Row],[PNP Fin]]=0,0,IF(Horaires356739[[#This Row],[PNP Fin]]&lt;Horaires356739[[#This Row],[début]],1,0)+Horaires356739[[#This Row],[PNP Fin]])</f>
        <v>0</v>
      </c>
      <c r="M14" s="34">
        <f>IF(Horaires356739[[#This Row],[Fin]]&lt;Horaires356739[[#This Row],[début]],1,0)+Horaires356739[[#This Row],[Fin]]</f>
        <v>0</v>
      </c>
      <c r="N14" s="35">
        <f>IF(Horaires356739[[#This Row],[Fin]]&lt;Horaires356739[[#This Row],[début]],MAX(0,MIN(Horaires356739[[#This Row],[Fin corrigée si nuit]],fin_nuit)-MAX(Horaires356739[[#This Row],[début]],deb_nuit))*24,(MAX(deb_nuit,Horaires356739[[#This Row],[Fin]])-MAX(deb_nuit,Horaires356739[[#This Row],[début]])+MAX(MIN(fin_nuit-1,Horaires356739[[#This Row],[Fin]])-MIN(fin_nuit-1,Horaires356739[[#This Row],[début]]),0))*24)</f>
        <v>0</v>
      </c>
      <c r="O14" s="35">
        <f>(MAX(0,MIN(Horaires356739[[#This Row],[Fin corrigée si nuit]],fin_nuit)-MAX(Horaires356739[[#This Row],[début]],deb_nuit))-IF(Horaires356739[[#This Row],[PNP Début]]=0,0,MIN(Horaires356739[[#This Row],[PNP Fin corrigée]],fin_nuit)-MAX(Horaires356739[[#This Row],[PNP Début corrigé]],deb_nuit)))*24</f>
        <v>0</v>
      </c>
      <c r="P14" s="35">
        <f>(IF(WEEKDAY(Horaires356739[[#This Row],[Date]],2)=7,MAX(0,MIN(fin_dimJF,Horaires356739[[#This Row],[Fin corrigée si nuit]])-MAX(deb_dimJF,Horaires356739[[#This Row],[début]])),0)+IF(WEEKDAY(Horaires356739[[#This Row],[Date]],2)=6,MAX(0,Horaires356739[[#This Row],[Fin corrigée si nuit]]-(1+deb_dimJF)),0))*24</f>
        <v>0</v>
      </c>
      <c r="Q14" s="35">
        <f>(IF(WEEKDAY(Horaires356739[[#This Row],[Date]],2)=7,MAX(0,MIN(fin_dimJF,Horaires356739[[#This Row],[Fin corrigée si nuit]])-MAX(deb_dimJF,Horaires356739[[#This Row],[début]])),0)+IF(WEEKDAY(Horaires356739[[#This Row],[Date]],2)=6,MAX(0,Horaires356739[[#This Row],[Fin corrigée si nuit]]-(1+deb_dimJF)),0))*24-
(IF(WEEKDAY(Horaires356739[[#This Row],[Date]],2)=7,MAX(0,MIN(fin_dimJF,Horaires356739[[#This Row],[PNP Fin corrigée]])-MAX(deb_dimJF,Horaires356739[[#This Row],[PNP Début corrigé]])),0)+IF(WEEKDAY(Horaires356739[[#This Row],[Date]],2)=6,MAX(0,Horaires356739[[#This Row],[PNP Fin corrigée]]-(1+deb_dimJF)),0))*24</f>
        <v>0</v>
      </c>
      <c r="R14" s="36">
        <f>(IF(COUNTIF(JF,Horaires356739[[#This Row],[Date]]),MAX(0,MIN(fin_dimJF,Horaires356739[[#This Row],[Fin corrigée si nuit]])-MAX(deb_dimJF,Horaires356739[[#This Row],[début]])),0)+IF(COUNTIF(JF,Horaires356739[[#This Row],[Date]]+1),MAX(0,Horaires356739[[#This Row],[Fin corrigée si nuit]]-(1+deb_dimJF)),0))*24</f>
        <v>0</v>
      </c>
      <c r="S14" s="36">
        <f>(IF(COUNTIF(JF,Horaires356739[[#This Row],[Date]]),MAX(0,MIN(fin_dimJF,Horaires356739[[#This Row],[Fin corrigée si nuit]])-MAX(deb_dimJF,Horaires356739[[#This Row],[début]])),0)+IF(COUNTIF(JF,Horaires356739[[#This Row],[Date]]+1),MAX(0,Horaires356739[[#This Row],[Fin corrigée si nuit]]-(1+deb_dimJF)),0))*24-
(IF(COUNTIF(JF,Horaires356739[[#This Row],[Date]]),MAX(0,MIN(fin_dimJF,Horaires356739[[#This Row],[PNP Fin corrigée]])-MAX(deb_dimJF,Horaires356739[[#This Row],[PNP Début corrigé]])),0)+IF(COUNTIF(JF,Horaires356739[[#This Row],[Date]]+1),MAX(0,Horaires356739[[#This Row],[PNP Fin corrigée]]-(1+deb_dimJF)),0))*24</f>
        <v>0</v>
      </c>
    </row>
    <row r="15" spans="1:19" x14ac:dyDescent="0.35">
      <c r="A15" s="5"/>
      <c r="B15" s="1"/>
      <c r="C15" s="2"/>
      <c r="D15" s="2"/>
      <c r="E15" s="3"/>
      <c r="F15" s="3"/>
      <c r="G15" s="3"/>
      <c r="H15" s="3"/>
      <c r="I15" s="32">
        <f>0.1*(Horaires356739[[#This Row],[Heures de nuit]]+Horaires356739[[#This Row],[heures jour dimanche]]+Horaires356739[[#This Row],[heures jour fériés]])</f>
        <v>0</v>
      </c>
      <c r="J15" s="33">
        <f>(MOD(Horaires356739[[#This Row],[Fin]]-Horaires356739[[#This Row],[début]],1)-MOD(Horaires356739[[#This Row],[PNP Fin]]-Horaires356739[[#This Row],[PNP Début]],1))*24</f>
        <v>0</v>
      </c>
      <c r="K15" s="34">
        <f>IF(Horaires356739[[#This Row],[PNP Début]]=0,0,IF(Horaires356739[[#This Row],[PNP Début]]&lt;Horaires356739[[#This Row],[début]],1,0)+Horaires356739[[#This Row],[PNP Début]])</f>
        <v>0</v>
      </c>
      <c r="L15" s="34">
        <f>IF(Horaires356739[[#This Row],[PNP Fin]]=0,0,IF(Horaires356739[[#This Row],[PNP Fin]]&lt;Horaires356739[[#This Row],[début]],1,0)+Horaires356739[[#This Row],[PNP Fin]])</f>
        <v>0</v>
      </c>
      <c r="M15" s="34">
        <f>IF(Horaires356739[[#This Row],[Fin]]&lt;Horaires356739[[#This Row],[début]],1,0)+Horaires356739[[#This Row],[Fin]]</f>
        <v>0</v>
      </c>
      <c r="N15" s="35">
        <f>IF(Horaires356739[[#This Row],[Fin]]&lt;Horaires356739[[#This Row],[début]],MAX(0,MIN(Horaires356739[[#This Row],[Fin corrigée si nuit]],fin_nuit)-MAX(Horaires356739[[#This Row],[début]],deb_nuit))*24,(MAX(deb_nuit,Horaires356739[[#This Row],[Fin]])-MAX(deb_nuit,Horaires356739[[#This Row],[début]])+MAX(MIN(fin_nuit-1,Horaires356739[[#This Row],[Fin]])-MIN(fin_nuit-1,Horaires356739[[#This Row],[début]]),0))*24)</f>
        <v>0</v>
      </c>
      <c r="O15" s="35">
        <f>(MAX(0,MIN(Horaires356739[[#This Row],[Fin corrigée si nuit]],fin_nuit)-MAX(Horaires356739[[#This Row],[début]],deb_nuit))-IF(Horaires356739[[#This Row],[PNP Début]]=0,0,MIN(Horaires356739[[#This Row],[PNP Fin corrigée]],fin_nuit)-MAX(Horaires356739[[#This Row],[PNP Début corrigé]],deb_nuit)))*24</f>
        <v>0</v>
      </c>
      <c r="P15" s="35">
        <f>(IF(WEEKDAY(Horaires356739[[#This Row],[Date]],2)=7,MAX(0,MIN(fin_dimJF,Horaires356739[[#This Row],[Fin corrigée si nuit]])-MAX(deb_dimJF,Horaires356739[[#This Row],[début]])),0)+IF(WEEKDAY(Horaires356739[[#This Row],[Date]],2)=6,MAX(0,Horaires356739[[#This Row],[Fin corrigée si nuit]]-(1+deb_dimJF)),0))*24</f>
        <v>0</v>
      </c>
      <c r="Q15" s="35">
        <f>(IF(WEEKDAY(Horaires356739[[#This Row],[Date]],2)=7,MAX(0,MIN(fin_dimJF,Horaires356739[[#This Row],[Fin corrigée si nuit]])-MAX(deb_dimJF,Horaires356739[[#This Row],[début]])),0)+IF(WEEKDAY(Horaires356739[[#This Row],[Date]],2)=6,MAX(0,Horaires356739[[#This Row],[Fin corrigée si nuit]]-(1+deb_dimJF)),0))*24-
(IF(WEEKDAY(Horaires356739[[#This Row],[Date]],2)=7,MAX(0,MIN(fin_dimJF,Horaires356739[[#This Row],[PNP Fin corrigée]])-MAX(deb_dimJF,Horaires356739[[#This Row],[PNP Début corrigé]])),0)+IF(WEEKDAY(Horaires356739[[#This Row],[Date]],2)=6,MAX(0,Horaires356739[[#This Row],[PNP Fin corrigée]]-(1+deb_dimJF)),0))*24</f>
        <v>0</v>
      </c>
      <c r="R15" s="36">
        <f>(IF(COUNTIF(JF,Horaires356739[[#This Row],[Date]]),MAX(0,MIN(fin_dimJF,Horaires356739[[#This Row],[Fin corrigée si nuit]])-MAX(deb_dimJF,Horaires356739[[#This Row],[début]])),0)+IF(COUNTIF(JF,Horaires356739[[#This Row],[Date]]+1),MAX(0,Horaires356739[[#This Row],[Fin corrigée si nuit]]-(1+deb_dimJF)),0))*24</f>
        <v>0</v>
      </c>
      <c r="S15" s="36">
        <f>(IF(COUNTIF(JF,Horaires356739[[#This Row],[Date]]),MAX(0,MIN(fin_dimJF,Horaires356739[[#This Row],[Fin corrigée si nuit]])-MAX(deb_dimJF,Horaires356739[[#This Row],[début]])),0)+IF(COUNTIF(JF,Horaires356739[[#This Row],[Date]]+1),MAX(0,Horaires356739[[#This Row],[Fin corrigée si nuit]]-(1+deb_dimJF)),0))*24-
(IF(COUNTIF(JF,Horaires356739[[#This Row],[Date]]),MAX(0,MIN(fin_dimJF,Horaires356739[[#This Row],[PNP Fin corrigée]])-MAX(deb_dimJF,Horaires356739[[#This Row],[PNP Début corrigé]])),0)+IF(COUNTIF(JF,Horaires356739[[#This Row],[Date]]+1),MAX(0,Horaires356739[[#This Row],[PNP Fin corrigée]]-(1+deb_dimJF)),0))*24</f>
        <v>0</v>
      </c>
    </row>
    <row r="16" spans="1:19" x14ac:dyDescent="0.35">
      <c r="A16" s="5"/>
      <c r="B16" s="6"/>
      <c r="C16" s="2"/>
      <c r="D16" s="2"/>
      <c r="E16" s="3"/>
      <c r="F16" s="3"/>
      <c r="G16" s="7"/>
      <c r="H16" s="7"/>
      <c r="I16" s="32">
        <f>0.1*(Horaires356739[[#This Row],[Heures de nuit]]+Horaires356739[[#This Row],[heures jour dimanche]]+Horaires356739[[#This Row],[heures jour fériés]])</f>
        <v>0</v>
      </c>
      <c r="J16" s="37">
        <f>(MOD(Horaires356739[[#This Row],[Fin]]-Horaires356739[[#This Row],[début]],1)-MOD(Horaires356739[[#This Row],[PNP Fin]]-Horaires356739[[#This Row],[PNP Début]],1))*24</f>
        <v>0</v>
      </c>
      <c r="K16" s="34">
        <f>IF(Horaires356739[[#This Row],[PNP Début]]=0,0,IF(Horaires356739[[#This Row],[PNP Début]]&lt;Horaires356739[[#This Row],[début]],1,0)+Horaires356739[[#This Row],[PNP Début]])</f>
        <v>0</v>
      </c>
      <c r="L16" s="34">
        <f>IF(Horaires356739[[#This Row],[PNP Fin]]=0,0,IF(Horaires356739[[#This Row],[PNP Fin]]&lt;Horaires356739[[#This Row],[début]],1,0)+Horaires356739[[#This Row],[PNP Fin]])</f>
        <v>0</v>
      </c>
      <c r="M16" s="38">
        <f>IF(Horaires356739[[#This Row],[Fin]]&lt;Horaires356739[[#This Row],[début]],1,0)+Horaires356739[[#This Row],[Fin]]</f>
        <v>0</v>
      </c>
      <c r="N16" s="35">
        <f>IF(Horaires356739[[#This Row],[Fin]]&lt;Horaires356739[[#This Row],[début]],MAX(0,MIN(Horaires356739[[#This Row],[Fin corrigée si nuit]],fin_nuit)-MAX(Horaires356739[[#This Row],[début]],deb_nuit))*24,(MAX(deb_nuit,Horaires356739[[#This Row],[Fin]])-MAX(deb_nuit,Horaires356739[[#This Row],[début]])+MAX(MIN(fin_nuit-1,Horaires356739[[#This Row],[Fin]])-MIN(fin_nuit-1,Horaires356739[[#This Row],[début]]),0))*24)</f>
        <v>0</v>
      </c>
      <c r="O16" s="39">
        <f>(MAX(0,MIN(Horaires356739[[#This Row],[Fin corrigée si nuit]],fin_nuit)-MAX(Horaires356739[[#This Row],[début]],deb_nuit))-IF(Horaires356739[[#This Row],[PNP Début]]=0,0,MIN(Horaires356739[[#This Row],[PNP Fin corrigée]],fin_nuit)-MAX(Horaires356739[[#This Row],[PNP Début corrigé]],deb_nuit)))*24</f>
        <v>0</v>
      </c>
      <c r="P16" s="39">
        <f>(IF(WEEKDAY(Horaires356739[[#This Row],[Date]],2)=7,MAX(0,MIN(fin_dimJF,Horaires356739[[#This Row],[Fin corrigée si nuit]])-MAX(deb_dimJF,Horaires356739[[#This Row],[début]])),0)+IF(WEEKDAY(Horaires356739[[#This Row],[Date]],2)=6,MAX(0,Horaires356739[[#This Row],[Fin corrigée si nuit]]-(1+deb_dimJF)),0))*24</f>
        <v>0</v>
      </c>
      <c r="Q16" s="35">
        <f>(IF(WEEKDAY(Horaires356739[[#This Row],[Date]],2)=7,MAX(0,MIN(fin_dimJF,Horaires356739[[#This Row],[Fin corrigée si nuit]])-MAX(deb_dimJF,Horaires356739[[#This Row],[début]])),0)+IF(WEEKDAY(Horaires356739[[#This Row],[Date]],2)=6,MAX(0,Horaires356739[[#This Row],[Fin corrigée si nuit]]-(1+deb_dimJF)),0))*24-
(IF(WEEKDAY(Horaires356739[[#This Row],[Date]],2)=7,MAX(0,MIN(fin_dimJF,Horaires356739[[#This Row],[PNP Fin corrigée]])-MAX(deb_dimJF,Horaires356739[[#This Row],[PNP Début corrigé]])),0)+IF(WEEKDAY(Horaires356739[[#This Row],[Date]],2)=6,MAX(0,Horaires356739[[#This Row],[PNP Fin corrigée]]-(1+deb_dimJF)),0))*24</f>
        <v>0</v>
      </c>
      <c r="R16" s="40">
        <f>(IF(COUNTIF(JF,Horaires356739[[#This Row],[Date]]),MAX(0,MIN(fin_dimJF,Horaires356739[[#This Row],[Fin corrigée si nuit]])-MAX(deb_dimJF,Horaires356739[[#This Row],[début]])),0)+IF(COUNTIF(JF,Horaires356739[[#This Row],[Date]]+1),MAX(0,Horaires356739[[#This Row],[Fin corrigée si nuit]]-(1+deb_dimJF)),0))*24</f>
        <v>0</v>
      </c>
      <c r="S16" s="40">
        <f>(IF(COUNTIF(JF,Horaires356739[[#This Row],[Date]]),MAX(0,MIN(fin_dimJF,Horaires356739[[#This Row],[Fin corrigée si nuit]])-MAX(deb_dimJF,Horaires356739[[#This Row],[début]])),0)+IF(COUNTIF(JF,Horaires356739[[#This Row],[Date]]+1),MAX(0,Horaires356739[[#This Row],[Fin corrigée si nuit]]-(1+deb_dimJF)),0))*24-
(IF(COUNTIF(JF,Horaires356739[[#This Row],[Date]]),MAX(0,MIN(fin_dimJF,Horaires356739[[#This Row],[PNP Fin corrigée]])-MAX(deb_dimJF,Horaires356739[[#This Row],[PNP Début corrigé]])),0)+IF(COUNTIF(JF,Horaires356739[[#This Row],[Date]]+1),MAX(0,Horaires356739[[#This Row],[PNP Fin corrigée]]-(1+deb_dimJF)),0))*24</f>
        <v>0</v>
      </c>
    </row>
    <row r="17" spans="1:19" x14ac:dyDescent="0.35">
      <c r="A17" s="5"/>
      <c r="B17" s="1"/>
      <c r="C17" s="2"/>
      <c r="D17" s="2"/>
      <c r="E17" s="3"/>
      <c r="F17" s="3"/>
      <c r="G17" s="12"/>
      <c r="H17" s="12"/>
      <c r="I17" s="41">
        <f>0.1*(Horaires356739[[#This Row],[Heures de nuit]]+Horaires356739[[#This Row],[heures jour dimanche]]+Horaires356739[[#This Row],[heures jour fériés]])</f>
        <v>0</v>
      </c>
      <c r="J17" s="42">
        <f>(MOD(Horaires356739[[#This Row],[Fin]]-Horaires356739[[#This Row],[début]],1)-MOD(Horaires356739[[#This Row],[PNP Fin]]-Horaires356739[[#This Row],[PNP Début]],1))*24</f>
        <v>0</v>
      </c>
      <c r="K17" s="43">
        <f>IF(Horaires356739[[#This Row],[PNP Début]]=0,0,IF(Horaires356739[[#This Row],[PNP Début]]&lt;Horaires356739[[#This Row],[début]],1,0)+Horaires356739[[#This Row],[PNP Début]])</f>
        <v>0</v>
      </c>
      <c r="L17" s="44">
        <f>IF(Horaires356739[[#This Row],[PNP Fin]]=0,0,IF(Horaires356739[[#This Row],[PNP Fin]]&lt;Horaires356739[[#This Row],[début]],1,0)+Horaires356739[[#This Row],[PNP Fin]])</f>
        <v>0</v>
      </c>
      <c r="M17" s="44">
        <f>IF(Horaires356739[[#This Row],[Fin]]&lt;Horaires356739[[#This Row],[début]],1,0)+Horaires356739[[#This Row],[Fin]]</f>
        <v>0</v>
      </c>
      <c r="N17" s="35">
        <f>IF(Horaires356739[[#This Row],[Fin]]&lt;Horaires356739[[#This Row],[début]],MAX(0,MIN(Horaires356739[[#This Row],[Fin corrigée si nuit]],fin_nuit)-MAX(Horaires356739[[#This Row],[début]],deb_nuit))*24,(MAX(deb_nuit,Horaires356739[[#This Row],[Fin]])-MAX(deb_nuit,Horaires356739[[#This Row],[début]])+MAX(MIN(fin_nuit-1,Horaires356739[[#This Row],[Fin]])-MIN(fin_nuit-1,Horaires356739[[#This Row],[début]]),0))*24)</f>
        <v>0</v>
      </c>
      <c r="O17" s="45">
        <f>(MAX(0,MIN(Horaires356739[[#This Row],[Fin corrigée si nuit]],fin_nuit)-MAX(Horaires356739[[#This Row],[début]],deb_nuit))-IF(Horaires356739[[#This Row],[PNP Début]]=0,0,MIN(Horaires356739[[#This Row],[PNP Fin corrigée]],fin_nuit)-MAX(Horaires356739[[#This Row],[PNP Début corrigé]],deb_nuit)))*24</f>
        <v>0</v>
      </c>
      <c r="P17" s="45">
        <f>(IF(WEEKDAY(Horaires356739[[#This Row],[Date]],2)=7,MAX(0,MIN(fin_dimJF,Horaires356739[[#This Row],[Fin corrigée si nuit]])-MAX(deb_dimJF,Horaires356739[[#This Row],[début]])),0)+IF(WEEKDAY(Horaires356739[[#This Row],[Date]],2)=6,MAX(0,Horaires356739[[#This Row],[Fin corrigée si nuit]]-(1+deb_dimJF)),0))*24</f>
        <v>0</v>
      </c>
      <c r="Q17" s="45">
        <f>(IF(WEEKDAY(Horaires356739[[#This Row],[Date]],2)=7,MAX(0,MIN(fin_dimJF,Horaires356739[[#This Row],[Fin corrigée si nuit]])-MAX(deb_dimJF,Horaires356739[[#This Row],[début]])),0)+IF(WEEKDAY(Horaires356739[[#This Row],[Date]],2)=6,MAX(0,Horaires356739[[#This Row],[Fin corrigée si nuit]]-(1+deb_dimJF)),0))*24-
(IF(WEEKDAY(Horaires356739[[#This Row],[Date]],2)=7,MAX(0,MIN(fin_dimJF,Horaires356739[[#This Row],[PNP Fin corrigée]])-MAX(deb_dimJF,Horaires356739[[#This Row],[PNP Début corrigé]])),0)+IF(WEEKDAY(Horaires356739[[#This Row],[Date]],2)=6,MAX(0,Horaires356739[[#This Row],[PNP Fin corrigée]]-(1+deb_dimJF)),0))*24</f>
        <v>0</v>
      </c>
      <c r="R17" s="45">
        <f>(IF(COUNTIF(JF,Horaires356739[[#This Row],[Date]]),MAX(0,MIN(fin_dimJF,Horaires356739[[#This Row],[Fin corrigée si nuit]])-MAX(deb_dimJF,Horaires356739[[#This Row],[début]])),0)+IF(COUNTIF(JF,Horaires356739[[#This Row],[Date]]+1),MAX(0,Horaires356739[[#This Row],[Fin corrigée si nuit]]-(1+deb_dimJF)),0))*24</f>
        <v>0</v>
      </c>
      <c r="S17" s="45">
        <f>(IF(COUNTIF(JF,Horaires356739[[#This Row],[Date]]),MAX(0,MIN(fin_dimJF,Horaires356739[[#This Row],[Fin corrigée si nuit]])-MAX(deb_dimJF,Horaires356739[[#This Row],[début]])),0)+IF(COUNTIF(JF,Horaires356739[[#This Row],[Date]]+1),MAX(0,Horaires356739[[#This Row],[Fin corrigée si nuit]]-(1+deb_dimJF)),0))*24-
(IF(COUNTIF(JF,Horaires356739[[#This Row],[Date]]),MAX(0,MIN(fin_dimJF,Horaires356739[[#This Row],[PNP Fin corrigée]])-MAX(deb_dimJF,Horaires356739[[#This Row],[PNP Début corrigé]])),0)+IF(COUNTIF(JF,Horaires356739[[#This Row],[Date]]+1),MAX(0,Horaires356739[[#This Row],[PNP Fin corrigée]]-(1+deb_dimJF)),0))*24</f>
        <v>0</v>
      </c>
    </row>
    <row r="18" spans="1:19" x14ac:dyDescent="0.35">
      <c r="A18" s="5"/>
      <c r="B18" s="60"/>
      <c r="C18" s="11"/>
      <c r="D18" s="11"/>
      <c r="E18" s="12"/>
      <c r="F18" s="12"/>
      <c r="G18" s="12"/>
      <c r="H18" s="12"/>
      <c r="I18" s="41">
        <f>0.1*(Horaires356739[[#This Row],[Heures de nuit]]+Horaires356739[[#This Row],[heures jour dimanche]]+Horaires356739[[#This Row],[heures jour fériés]])</f>
        <v>0</v>
      </c>
      <c r="J18" s="42">
        <f>(MOD(Horaires356739[[#This Row],[Fin]]-Horaires356739[[#This Row],[début]],1)-MOD(Horaires356739[[#This Row],[PNP Fin]]-Horaires356739[[#This Row],[PNP Début]],1))*24</f>
        <v>0</v>
      </c>
      <c r="K18" s="43">
        <f>IF(Horaires356739[[#This Row],[PNP Début]]=0,0,IF(Horaires356739[[#This Row],[PNP Début]]&lt;Horaires356739[[#This Row],[début]],1,0)+Horaires356739[[#This Row],[PNP Début]])</f>
        <v>0</v>
      </c>
      <c r="L18" s="44">
        <f>IF(Horaires356739[[#This Row],[PNP Fin]]=0,0,IF(Horaires356739[[#This Row],[PNP Fin]]&lt;Horaires356739[[#This Row],[début]],1,0)+Horaires356739[[#This Row],[PNP Fin]])</f>
        <v>0</v>
      </c>
      <c r="M18" s="44">
        <f>IF(Horaires356739[[#This Row],[Fin]]&lt;Horaires356739[[#This Row],[début]],1,0)+Horaires356739[[#This Row],[Fin]]</f>
        <v>0</v>
      </c>
      <c r="N18" s="35">
        <f>IF(Horaires356739[[#This Row],[Fin]]&lt;Horaires356739[[#This Row],[début]],MAX(0,MIN(Horaires356739[[#This Row],[Fin corrigée si nuit]],fin_nuit)-MAX(Horaires356739[[#This Row],[début]],deb_nuit))*24,(MAX(deb_nuit,Horaires356739[[#This Row],[Fin]])-MAX(deb_nuit,Horaires356739[[#This Row],[début]])+MAX(MIN(fin_nuit-1,Horaires356739[[#This Row],[Fin]])-MIN(fin_nuit-1,Horaires356739[[#This Row],[début]]),0))*24)</f>
        <v>0</v>
      </c>
      <c r="O18" s="45">
        <f>(MAX(0,MIN(Horaires356739[[#This Row],[Fin corrigée si nuit]],fin_nuit)-MAX(Horaires356739[[#This Row],[début]],deb_nuit))-IF(Horaires356739[[#This Row],[PNP Début]]=0,0,MIN(Horaires356739[[#This Row],[PNP Fin corrigée]],fin_nuit)-MAX(Horaires356739[[#This Row],[PNP Début corrigé]],deb_nuit)))*24</f>
        <v>0</v>
      </c>
      <c r="P18" s="45">
        <f>(IF(WEEKDAY(Horaires356739[[#This Row],[Date]],2)=7,MAX(0,MIN(fin_dimJF,Horaires356739[[#This Row],[Fin corrigée si nuit]])-MAX(deb_dimJF,Horaires356739[[#This Row],[début]])),0)+IF(WEEKDAY(Horaires356739[[#This Row],[Date]],2)=6,MAX(0,Horaires356739[[#This Row],[Fin corrigée si nuit]]-(1+deb_dimJF)),0))*24</f>
        <v>0</v>
      </c>
      <c r="Q18" s="45">
        <f>(IF(WEEKDAY(Horaires356739[[#This Row],[Date]],2)=7,MAX(0,MIN(fin_dimJF,Horaires356739[[#This Row],[Fin corrigée si nuit]])-MAX(deb_dimJF,Horaires356739[[#This Row],[début]])),0)+IF(WEEKDAY(Horaires356739[[#This Row],[Date]],2)=6,MAX(0,Horaires356739[[#This Row],[Fin corrigée si nuit]]-(1+deb_dimJF)),0))*24-
(IF(WEEKDAY(Horaires356739[[#This Row],[Date]],2)=7,MAX(0,MIN(fin_dimJF,Horaires356739[[#This Row],[PNP Fin corrigée]])-MAX(deb_dimJF,Horaires356739[[#This Row],[PNP Début corrigé]])),0)+IF(WEEKDAY(Horaires356739[[#This Row],[Date]],2)=6,MAX(0,Horaires356739[[#This Row],[PNP Fin corrigée]]-(1+deb_dimJF)),0))*24</f>
        <v>0</v>
      </c>
      <c r="R18" s="45">
        <f>(IF(COUNTIF(JF,Horaires356739[[#This Row],[Date]]),MAX(0,MIN(fin_dimJF,Horaires356739[[#This Row],[Fin corrigée si nuit]])-MAX(deb_dimJF,Horaires356739[[#This Row],[début]])),0)+IF(COUNTIF(JF,Horaires356739[[#This Row],[Date]]+1),MAX(0,Horaires356739[[#This Row],[Fin corrigée si nuit]]-(1+deb_dimJF)),0))*24</f>
        <v>0</v>
      </c>
      <c r="S18" s="45">
        <f>(IF(COUNTIF(JF,Horaires356739[[#This Row],[Date]]),MAX(0,MIN(fin_dimJF,Horaires356739[[#This Row],[Fin corrigée si nuit]])-MAX(deb_dimJF,Horaires356739[[#This Row],[début]])),0)+IF(COUNTIF(JF,Horaires356739[[#This Row],[Date]]+1),MAX(0,Horaires356739[[#This Row],[Fin corrigée si nuit]]-(1+deb_dimJF)),0))*24-
(IF(COUNTIF(JF,Horaires356739[[#This Row],[Date]]),MAX(0,MIN(fin_dimJF,Horaires356739[[#This Row],[PNP Fin corrigée]])-MAX(deb_dimJF,Horaires356739[[#This Row],[PNP Début corrigé]])),0)+IF(COUNTIF(JF,Horaires356739[[#This Row],[Date]]+1),MAX(0,Horaires356739[[#This Row],[PNP Fin corrigée]]-(1+deb_dimJF)),0))*24</f>
        <v>0</v>
      </c>
    </row>
    <row r="19" spans="1:19" x14ac:dyDescent="0.35">
      <c r="A19" s="5"/>
      <c r="B19" s="1"/>
      <c r="C19" s="11"/>
      <c r="D19" s="11"/>
      <c r="E19" s="3"/>
      <c r="F19" s="3"/>
      <c r="G19" s="12"/>
      <c r="H19" s="12"/>
      <c r="I19" s="41">
        <f>0.1*(Horaires356739[[#This Row],[Heures de nuit]]+Horaires356739[[#This Row],[heures jour dimanche]]+Horaires356739[[#This Row],[heures jour fériés]])</f>
        <v>0</v>
      </c>
      <c r="J19" s="42">
        <f>(MOD(Horaires356739[[#This Row],[Fin]]-Horaires356739[[#This Row],[début]],1)-MOD(Horaires356739[[#This Row],[PNP Fin]]-Horaires356739[[#This Row],[PNP Début]],1))*24</f>
        <v>0</v>
      </c>
      <c r="K19" s="43">
        <f>IF(Horaires356739[[#This Row],[PNP Début]]=0,0,IF(Horaires356739[[#This Row],[PNP Début]]&lt;Horaires356739[[#This Row],[début]],1,0)+Horaires356739[[#This Row],[PNP Début]])</f>
        <v>0</v>
      </c>
      <c r="L19" s="44">
        <f>IF(Horaires356739[[#This Row],[PNP Fin]]=0,0,IF(Horaires356739[[#This Row],[PNP Fin]]&lt;Horaires356739[[#This Row],[début]],1,0)+Horaires356739[[#This Row],[PNP Fin]])</f>
        <v>0</v>
      </c>
      <c r="M19" s="44">
        <f>IF(Horaires356739[[#This Row],[Fin]]&lt;Horaires356739[[#This Row],[début]],1,0)+Horaires356739[[#This Row],[Fin]]</f>
        <v>0</v>
      </c>
      <c r="N19" s="35">
        <f>IF(Horaires356739[[#This Row],[Fin]]&lt;Horaires356739[[#This Row],[début]],MAX(0,MIN(Horaires356739[[#This Row],[Fin corrigée si nuit]],fin_nuit)-MAX(Horaires356739[[#This Row],[début]],deb_nuit))*24,(MAX(deb_nuit,Horaires356739[[#This Row],[Fin]])-MAX(deb_nuit,Horaires356739[[#This Row],[début]])+MAX(MIN(fin_nuit-1,Horaires356739[[#This Row],[Fin]])-MIN(fin_nuit-1,Horaires356739[[#This Row],[début]]),0))*24)</f>
        <v>0</v>
      </c>
      <c r="O19" s="45">
        <f>(MAX(0,MIN(Horaires356739[[#This Row],[Fin corrigée si nuit]],fin_nuit)-MAX(Horaires356739[[#This Row],[début]],deb_nuit))-IF(Horaires356739[[#This Row],[PNP Début]]=0,0,MIN(Horaires356739[[#This Row],[PNP Fin corrigée]],fin_nuit)-MAX(Horaires356739[[#This Row],[PNP Début corrigé]],deb_nuit)))*24</f>
        <v>0</v>
      </c>
      <c r="P19" s="45">
        <f>(IF(WEEKDAY(Horaires356739[[#This Row],[Date]],2)=7,MAX(0,MIN(fin_dimJF,Horaires356739[[#This Row],[Fin corrigée si nuit]])-MAX(deb_dimJF,Horaires356739[[#This Row],[début]])),0)+IF(WEEKDAY(Horaires356739[[#This Row],[Date]],2)=6,MAX(0,Horaires356739[[#This Row],[Fin corrigée si nuit]]-(1+deb_dimJF)),0))*24</f>
        <v>0</v>
      </c>
      <c r="Q19" s="45">
        <f>(IF(WEEKDAY(Horaires356739[[#This Row],[Date]],2)=7,MAX(0,MIN(fin_dimJF,Horaires356739[[#This Row],[Fin corrigée si nuit]])-MAX(deb_dimJF,Horaires356739[[#This Row],[début]])),0)+IF(WEEKDAY(Horaires356739[[#This Row],[Date]],2)=6,MAX(0,Horaires356739[[#This Row],[Fin corrigée si nuit]]-(1+deb_dimJF)),0))*24-
(IF(WEEKDAY(Horaires356739[[#This Row],[Date]],2)=7,MAX(0,MIN(fin_dimJF,Horaires356739[[#This Row],[PNP Fin corrigée]])-MAX(deb_dimJF,Horaires356739[[#This Row],[PNP Début corrigé]])),0)+IF(WEEKDAY(Horaires356739[[#This Row],[Date]],2)=6,MAX(0,Horaires356739[[#This Row],[PNP Fin corrigée]]-(1+deb_dimJF)),0))*24</f>
        <v>0</v>
      </c>
      <c r="R19" s="45">
        <f>(IF(COUNTIF(JF,Horaires356739[[#This Row],[Date]]),MAX(0,MIN(fin_dimJF,Horaires356739[[#This Row],[Fin corrigée si nuit]])-MAX(deb_dimJF,Horaires356739[[#This Row],[début]])),0)+IF(COUNTIF(JF,Horaires356739[[#This Row],[Date]]+1),MAX(0,Horaires356739[[#This Row],[Fin corrigée si nuit]]-(1+deb_dimJF)),0))*24</f>
        <v>0</v>
      </c>
      <c r="S19" s="45">
        <f>(IF(COUNTIF(JF,Horaires356739[[#This Row],[Date]]),MAX(0,MIN(fin_dimJF,Horaires356739[[#This Row],[Fin corrigée si nuit]])-MAX(deb_dimJF,Horaires356739[[#This Row],[début]])),0)+IF(COUNTIF(JF,Horaires356739[[#This Row],[Date]]+1),MAX(0,Horaires356739[[#This Row],[Fin corrigée si nuit]]-(1+deb_dimJF)),0))*24-
(IF(COUNTIF(JF,Horaires356739[[#This Row],[Date]]),MAX(0,MIN(fin_dimJF,Horaires356739[[#This Row],[PNP Fin corrigée]])-MAX(deb_dimJF,Horaires356739[[#This Row],[PNP Début corrigé]])),0)+IF(COUNTIF(JF,Horaires356739[[#This Row],[Date]]+1),MAX(0,Horaires356739[[#This Row],[PNP Fin corrigée]]-(1+deb_dimJF)),0))*24</f>
        <v>0</v>
      </c>
    </row>
    <row r="20" spans="1:19" x14ac:dyDescent="0.35">
      <c r="A20" s="5"/>
      <c r="B20" s="1"/>
      <c r="C20" s="11"/>
      <c r="D20" s="11"/>
      <c r="E20" s="12"/>
      <c r="F20" s="12"/>
      <c r="G20" s="12"/>
      <c r="H20" s="12"/>
      <c r="I20" s="41">
        <f>0.1*(Horaires356739[[#This Row],[Heures de nuit]]+Horaires356739[[#This Row],[heures jour dimanche]]+Horaires356739[[#This Row],[heures jour fériés]])</f>
        <v>0</v>
      </c>
      <c r="J20" s="42">
        <f>(MOD(Horaires356739[[#This Row],[Fin]]-Horaires356739[[#This Row],[début]],1)-MOD(Horaires356739[[#This Row],[PNP Fin]]-Horaires356739[[#This Row],[PNP Début]],1))*24</f>
        <v>0</v>
      </c>
      <c r="K20" s="43">
        <f>IF(Horaires356739[[#This Row],[PNP Début]]=0,0,IF(Horaires356739[[#This Row],[PNP Début]]&lt;Horaires356739[[#This Row],[début]],1,0)+Horaires356739[[#This Row],[PNP Début]])</f>
        <v>0</v>
      </c>
      <c r="L20" s="44">
        <f>IF(Horaires356739[[#This Row],[PNP Fin]]=0,0,IF(Horaires356739[[#This Row],[PNP Fin]]&lt;Horaires356739[[#This Row],[début]],1,0)+Horaires356739[[#This Row],[PNP Fin]])</f>
        <v>0</v>
      </c>
      <c r="M20" s="44">
        <f>IF(Horaires356739[[#This Row],[Fin]]&lt;Horaires356739[[#This Row],[début]],1,0)+Horaires356739[[#This Row],[Fin]]</f>
        <v>0</v>
      </c>
      <c r="N20" s="35">
        <f>IF(Horaires356739[[#This Row],[Fin]]&lt;Horaires356739[[#This Row],[début]],MAX(0,MIN(Horaires356739[[#This Row],[Fin corrigée si nuit]],fin_nuit)-MAX(Horaires356739[[#This Row],[début]],deb_nuit))*24,(MAX(deb_nuit,Horaires356739[[#This Row],[Fin]])-MAX(deb_nuit,Horaires356739[[#This Row],[début]])+MAX(MIN(fin_nuit-1,Horaires356739[[#This Row],[Fin]])-MIN(fin_nuit-1,Horaires356739[[#This Row],[début]]),0))*24)</f>
        <v>0</v>
      </c>
      <c r="O20" s="45">
        <f>(MAX(0,MIN(Horaires356739[[#This Row],[Fin corrigée si nuit]],fin_nuit)-MAX(Horaires356739[[#This Row],[début]],deb_nuit))-IF(Horaires356739[[#This Row],[PNP Début]]=0,0,MIN(Horaires356739[[#This Row],[PNP Fin corrigée]],fin_nuit)-MAX(Horaires356739[[#This Row],[PNP Début corrigé]],deb_nuit)))*24</f>
        <v>0</v>
      </c>
      <c r="P20" s="45">
        <f>(IF(WEEKDAY(Horaires356739[[#This Row],[Date]],2)=7,MAX(0,MIN(fin_dimJF,Horaires356739[[#This Row],[Fin corrigée si nuit]])-MAX(deb_dimJF,Horaires356739[[#This Row],[début]])),0)+IF(WEEKDAY(Horaires356739[[#This Row],[Date]],2)=6,MAX(0,Horaires356739[[#This Row],[Fin corrigée si nuit]]-(1+deb_dimJF)),0))*24</f>
        <v>0</v>
      </c>
      <c r="Q20" s="45">
        <f>(IF(WEEKDAY(Horaires356739[[#This Row],[Date]],2)=7,MAX(0,MIN(fin_dimJF,Horaires356739[[#This Row],[Fin corrigée si nuit]])-MAX(deb_dimJF,Horaires356739[[#This Row],[début]])),0)+IF(WEEKDAY(Horaires356739[[#This Row],[Date]],2)=6,MAX(0,Horaires356739[[#This Row],[Fin corrigée si nuit]]-(1+deb_dimJF)),0))*24-
(IF(WEEKDAY(Horaires356739[[#This Row],[Date]],2)=7,MAX(0,MIN(fin_dimJF,Horaires356739[[#This Row],[PNP Fin corrigée]])-MAX(deb_dimJF,Horaires356739[[#This Row],[PNP Début corrigé]])),0)+IF(WEEKDAY(Horaires356739[[#This Row],[Date]],2)=6,MAX(0,Horaires356739[[#This Row],[PNP Fin corrigée]]-(1+deb_dimJF)),0))*24</f>
        <v>0</v>
      </c>
      <c r="R20" s="45">
        <f>(IF(COUNTIF(JF,Horaires356739[[#This Row],[Date]]),MAX(0,MIN(fin_dimJF,Horaires356739[[#This Row],[Fin corrigée si nuit]])-MAX(deb_dimJF,Horaires356739[[#This Row],[début]])),0)+IF(COUNTIF(JF,Horaires356739[[#This Row],[Date]]+1),MAX(0,Horaires356739[[#This Row],[Fin corrigée si nuit]]-(1+deb_dimJF)),0))*24</f>
        <v>0</v>
      </c>
      <c r="S20" s="45">
        <f>(IF(COUNTIF(JF,Horaires356739[[#This Row],[Date]]),MAX(0,MIN(fin_dimJF,Horaires356739[[#This Row],[Fin corrigée si nuit]])-MAX(deb_dimJF,Horaires356739[[#This Row],[début]])),0)+IF(COUNTIF(JF,Horaires356739[[#This Row],[Date]]+1),MAX(0,Horaires356739[[#This Row],[Fin corrigée si nuit]]-(1+deb_dimJF)),0))*24-
(IF(COUNTIF(JF,Horaires356739[[#This Row],[Date]]),MAX(0,MIN(fin_dimJF,Horaires356739[[#This Row],[PNP Fin corrigée]])-MAX(deb_dimJF,Horaires356739[[#This Row],[PNP Début corrigé]])),0)+IF(COUNTIF(JF,Horaires356739[[#This Row],[Date]]+1),MAX(0,Horaires356739[[#This Row],[PNP Fin corrigée]]-(1+deb_dimJF)),0))*24</f>
        <v>0</v>
      </c>
    </row>
    <row r="21" spans="1:19" x14ac:dyDescent="0.35">
      <c r="A21" s="5"/>
      <c r="B21" s="6"/>
      <c r="C21" s="13"/>
      <c r="D21" s="13"/>
      <c r="E21" s="3"/>
      <c r="F21" s="3"/>
      <c r="G21" s="14"/>
      <c r="H21" s="14"/>
      <c r="I21" s="46">
        <f>0.1*(Horaires356739[[#This Row],[Heures de nuit]]+Horaires356739[[#This Row],[heures jour dimanche]]+Horaires356739[[#This Row],[heures jour fériés]])</f>
        <v>0</v>
      </c>
      <c r="J21" s="47">
        <f>(MOD(Horaires356739[[#This Row],[Fin]]-Horaires356739[[#This Row],[début]],1)-MOD(Horaires356739[[#This Row],[PNP Fin]]-Horaires356739[[#This Row],[PNP Début]],1))*24</f>
        <v>0</v>
      </c>
      <c r="K21" s="48">
        <f>IF(Horaires356739[[#This Row],[PNP Début]]=0,0,IF(Horaires356739[[#This Row],[PNP Début]]&lt;Horaires356739[[#This Row],[début]],1,0)+Horaires356739[[#This Row],[PNP Début]])</f>
        <v>0</v>
      </c>
      <c r="L21" s="49">
        <f>IF(Horaires356739[[#This Row],[PNP Fin]]=0,0,IF(Horaires356739[[#This Row],[PNP Fin]]&lt;Horaires356739[[#This Row],[début]],1,0)+Horaires356739[[#This Row],[PNP Fin]])</f>
        <v>0</v>
      </c>
      <c r="M21" s="49">
        <f>IF(Horaires356739[[#This Row],[Fin]]&lt;Horaires356739[[#This Row],[début]],1,0)+Horaires356739[[#This Row],[Fin]]</f>
        <v>0</v>
      </c>
      <c r="N21" s="35">
        <f>IF(Horaires356739[[#This Row],[Fin]]&lt;Horaires356739[[#This Row],[début]],MAX(0,MIN(Horaires356739[[#This Row],[Fin corrigée si nuit]],fin_nuit)-MAX(Horaires356739[[#This Row],[début]],deb_nuit))*24,(MAX(deb_nuit,Horaires356739[[#This Row],[Fin]])-MAX(deb_nuit,Horaires356739[[#This Row],[début]])+MAX(MIN(fin_nuit-1,Horaires356739[[#This Row],[Fin]])-MIN(fin_nuit-1,Horaires356739[[#This Row],[début]]),0))*24)</f>
        <v>0</v>
      </c>
      <c r="O21" s="50">
        <f>(MAX(0,MIN(Horaires356739[[#This Row],[Fin corrigée si nuit]],fin_nuit)-MAX(Horaires356739[[#This Row],[début]],deb_nuit))-IF(Horaires356739[[#This Row],[PNP Début]]=0,0,MIN(Horaires356739[[#This Row],[PNP Fin corrigée]],fin_nuit)-MAX(Horaires356739[[#This Row],[PNP Début corrigé]],deb_nuit)))*24</f>
        <v>0</v>
      </c>
      <c r="P21" s="50">
        <f>(IF(WEEKDAY(Horaires356739[[#This Row],[Date]],2)=7,MAX(0,MIN(fin_dimJF,Horaires356739[[#This Row],[Fin corrigée si nuit]])-MAX(deb_dimJF,Horaires356739[[#This Row],[début]])),0)+IF(WEEKDAY(Horaires356739[[#This Row],[Date]],2)=6,MAX(0,Horaires356739[[#This Row],[Fin corrigée si nuit]]-(1+deb_dimJF)),0))*24</f>
        <v>0</v>
      </c>
      <c r="Q21" s="50">
        <f>(IF(WEEKDAY(Horaires356739[[#This Row],[Date]],2)=7,MAX(0,MIN(fin_dimJF,Horaires356739[[#This Row],[Fin corrigée si nuit]])-MAX(deb_dimJF,Horaires356739[[#This Row],[début]])),0)+IF(WEEKDAY(Horaires356739[[#This Row],[Date]],2)=6,MAX(0,Horaires356739[[#This Row],[Fin corrigée si nuit]]-(1+deb_dimJF)),0))*24-
(IF(WEEKDAY(Horaires356739[[#This Row],[Date]],2)=7,MAX(0,MIN(fin_dimJF,Horaires356739[[#This Row],[PNP Fin corrigée]])-MAX(deb_dimJF,Horaires356739[[#This Row],[PNP Début corrigé]])),0)+IF(WEEKDAY(Horaires356739[[#This Row],[Date]],2)=6,MAX(0,Horaires356739[[#This Row],[PNP Fin corrigée]]-(1+deb_dimJF)),0))*24</f>
        <v>0</v>
      </c>
      <c r="R21" s="50">
        <f>(IF(COUNTIF(JF,Horaires356739[[#This Row],[Date]]),MAX(0,MIN(fin_dimJF,Horaires356739[[#This Row],[Fin corrigée si nuit]])-MAX(deb_dimJF,Horaires356739[[#This Row],[début]])),0)+IF(COUNTIF(JF,Horaires356739[[#This Row],[Date]]+1),MAX(0,Horaires356739[[#This Row],[Fin corrigée si nuit]]-(1+deb_dimJF)),0))*24</f>
        <v>0</v>
      </c>
      <c r="S21" s="50">
        <f>(IF(COUNTIF(JF,Horaires356739[[#This Row],[Date]]),MAX(0,MIN(fin_dimJF,Horaires356739[[#This Row],[Fin corrigée si nuit]])-MAX(deb_dimJF,Horaires356739[[#This Row],[début]])),0)+IF(COUNTIF(JF,Horaires356739[[#This Row],[Date]]+1),MAX(0,Horaires356739[[#This Row],[Fin corrigée si nuit]]-(1+deb_dimJF)),0))*24-
(IF(COUNTIF(JF,Horaires356739[[#This Row],[Date]]),MAX(0,MIN(fin_dimJF,Horaires356739[[#This Row],[PNP Fin corrigée]])-MAX(deb_dimJF,Horaires356739[[#This Row],[PNP Début corrigé]])),0)+IF(COUNTIF(JF,Horaires356739[[#This Row],[Date]]+1),MAX(0,Horaires356739[[#This Row],[PNP Fin corrigée]]-(1+deb_dimJF)),0))*24</f>
        <v>0</v>
      </c>
    </row>
    <row r="22" spans="1:19" x14ac:dyDescent="0.35">
      <c r="A22" s="5"/>
      <c r="B22" s="1"/>
      <c r="C22" s="13"/>
      <c r="D22" s="13"/>
      <c r="E22" s="3"/>
      <c r="F22" s="3"/>
      <c r="G22" s="3"/>
      <c r="H22" s="3"/>
      <c r="I22" s="51">
        <f>0.1*(Horaires356739[[#This Row],[Heures de nuit]]+Horaires356739[[#This Row],[heures jour dimanche]]+Horaires356739[[#This Row],[heures jour fériés]])</f>
        <v>0</v>
      </c>
      <c r="J22" s="52">
        <f>(MOD(Horaires356739[[#This Row],[Fin]]-Horaires356739[[#This Row],[début]],1)-MOD(Horaires356739[[#This Row],[PNP Fin]]-Horaires356739[[#This Row],[PNP Début]],1))*24</f>
        <v>0</v>
      </c>
      <c r="K22" s="53">
        <f>IF(Horaires356739[[#This Row],[PNP Début]]=0,0,IF(Horaires356739[[#This Row],[PNP Début]]&lt;Horaires356739[[#This Row],[début]],1,0)+Horaires356739[[#This Row],[PNP Début]])</f>
        <v>0</v>
      </c>
      <c r="L22" s="54">
        <f>IF(Horaires356739[[#This Row],[PNP Fin]]=0,0,IF(Horaires356739[[#This Row],[PNP Fin]]&lt;Horaires356739[[#This Row],[début]],1,0)+Horaires356739[[#This Row],[PNP Fin]])</f>
        <v>0</v>
      </c>
      <c r="M22" s="54">
        <f>IF(Horaires356739[[#This Row],[Fin]]&lt;Horaires356739[[#This Row],[début]],1,0)+Horaires356739[[#This Row],[Fin]]</f>
        <v>0</v>
      </c>
      <c r="N22" s="35">
        <f>IF(Horaires356739[[#This Row],[Fin]]&lt;Horaires356739[[#This Row],[début]],MAX(0,MIN(Horaires356739[[#This Row],[Fin corrigée si nuit]],fin_nuit)-MAX(Horaires356739[[#This Row],[début]],deb_nuit))*24,(MAX(deb_nuit,Horaires356739[[#This Row],[Fin]])-MAX(deb_nuit,Horaires356739[[#This Row],[début]])+MAX(MIN(fin_nuit-1,Horaires356739[[#This Row],[Fin]])-MIN(fin_nuit-1,Horaires356739[[#This Row],[début]]),0))*24)</f>
        <v>0</v>
      </c>
      <c r="O22" s="55">
        <f>(MAX(0,MIN(Horaires356739[[#This Row],[Fin corrigée si nuit]],fin_nuit)-MAX(Horaires356739[[#This Row],[début]],deb_nuit))-IF(Horaires356739[[#This Row],[PNP Début]]=0,0,MIN(Horaires356739[[#This Row],[PNP Fin corrigée]],fin_nuit)-MAX(Horaires356739[[#This Row],[PNP Début corrigé]],deb_nuit)))*24</f>
        <v>0</v>
      </c>
      <c r="P22" s="55">
        <f>(IF(WEEKDAY(Horaires356739[[#This Row],[Date]],2)=7,MAX(0,MIN(fin_dimJF,Horaires356739[[#This Row],[Fin corrigée si nuit]])-MAX(deb_dimJF,Horaires356739[[#This Row],[début]])),0)+IF(WEEKDAY(Horaires356739[[#This Row],[Date]],2)=6,MAX(0,Horaires356739[[#This Row],[Fin corrigée si nuit]]-(1+deb_dimJF)),0))*24</f>
        <v>0</v>
      </c>
      <c r="Q22" s="55">
        <f>(IF(WEEKDAY(Horaires356739[[#This Row],[Date]],2)=7,MAX(0,MIN(fin_dimJF,Horaires356739[[#This Row],[Fin corrigée si nuit]])-MAX(deb_dimJF,Horaires356739[[#This Row],[début]])),0)+IF(WEEKDAY(Horaires356739[[#This Row],[Date]],2)=6,MAX(0,Horaires356739[[#This Row],[Fin corrigée si nuit]]-(1+deb_dimJF)),0))*24-
(IF(WEEKDAY(Horaires356739[[#This Row],[Date]],2)=7,MAX(0,MIN(fin_dimJF,Horaires356739[[#This Row],[PNP Fin corrigée]])-MAX(deb_dimJF,Horaires356739[[#This Row],[PNP Début corrigé]])),0)+IF(WEEKDAY(Horaires356739[[#This Row],[Date]],2)=6,MAX(0,Horaires356739[[#This Row],[PNP Fin corrigée]]-(1+deb_dimJF)),0))*24</f>
        <v>0</v>
      </c>
      <c r="R22" s="55">
        <f>(IF(COUNTIF(JF,Horaires356739[[#This Row],[Date]]),MAX(0,MIN(fin_dimJF,Horaires356739[[#This Row],[Fin corrigée si nuit]])-MAX(deb_dimJF,Horaires356739[[#This Row],[début]])),0)+IF(COUNTIF(JF,Horaires356739[[#This Row],[Date]]+1),MAX(0,Horaires356739[[#This Row],[Fin corrigée si nuit]]-(1+deb_dimJF)),0))*24</f>
        <v>0</v>
      </c>
      <c r="S22" s="55">
        <f>(IF(COUNTIF(JF,Horaires356739[[#This Row],[Date]]),MAX(0,MIN(fin_dimJF,Horaires356739[[#This Row],[Fin corrigée si nuit]])-MAX(deb_dimJF,Horaires356739[[#This Row],[début]])),0)+IF(COUNTIF(JF,Horaires356739[[#This Row],[Date]]+1),MAX(0,Horaires356739[[#This Row],[Fin corrigée si nuit]]-(1+deb_dimJF)),0))*24-
(IF(COUNTIF(JF,Horaires356739[[#This Row],[Date]]),MAX(0,MIN(fin_dimJF,Horaires356739[[#This Row],[PNP Fin corrigée]])-MAX(deb_dimJF,Horaires356739[[#This Row],[PNP Début corrigé]])),0)+IF(COUNTIF(JF,Horaires356739[[#This Row],[Date]]+1),MAX(0,Horaires356739[[#This Row],[PNP Fin corrigée]]-(1+deb_dimJF)),0))*24</f>
        <v>0</v>
      </c>
    </row>
    <row r="23" spans="1:19" x14ac:dyDescent="0.35">
      <c r="A23" s="5"/>
      <c r="B23" s="1"/>
      <c r="C23" s="13"/>
      <c r="D23" s="13"/>
      <c r="E23" s="3"/>
      <c r="F23" s="3"/>
      <c r="G23" s="3"/>
      <c r="H23" s="3"/>
      <c r="I23" s="51">
        <f>0.1*(Horaires356739[[#This Row],[Heures de nuit]]+Horaires356739[[#This Row],[heures jour dimanche]]+Horaires356739[[#This Row],[heures jour fériés]])</f>
        <v>0</v>
      </c>
      <c r="J23" s="52">
        <f>(MOD(Horaires356739[[#This Row],[Fin]]-Horaires356739[[#This Row],[début]],1)-MOD(Horaires356739[[#This Row],[PNP Fin]]-Horaires356739[[#This Row],[PNP Début]],1))*24</f>
        <v>0</v>
      </c>
      <c r="K23" s="53">
        <f>IF(Horaires356739[[#This Row],[PNP Début]]=0,0,IF(Horaires356739[[#This Row],[PNP Début]]&lt;Horaires356739[[#This Row],[début]],1,0)+Horaires356739[[#This Row],[PNP Début]])</f>
        <v>0</v>
      </c>
      <c r="L23" s="54">
        <f>IF(Horaires356739[[#This Row],[PNP Fin]]=0,0,IF(Horaires356739[[#This Row],[PNP Fin]]&lt;Horaires356739[[#This Row],[début]],1,0)+Horaires356739[[#This Row],[PNP Fin]])</f>
        <v>0</v>
      </c>
      <c r="M23" s="54">
        <f>IF(Horaires356739[[#This Row],[Fin]]&lt;Horaires356739[[#This Row],[début]],1,0)+Horaires356739[[#This Row],[Fin]]</f>
        <v>0</v>
      </c>
      <c r="N23" s="35">
        <f>IF(Horaires356739[[#This Row],[Fin]]&lt;Horaires356739[[#This Row],[début]],MAX(0,MIN(Horaires356739[[#This Row],[Fin corrigée si nuit]],fin_nuit)-MAX(Horaires356739[[#This Row],[début]],deb_nuit))*24,(MAX(deb_nuit,Horaires356739[[#This Row],[Fin]])-MAX(deb_nuit,Horaires356739[[#This Row],[début]])+MAX(MIN(fin_nuit-1,Horaires356739[[#This Row],[Fin]])-MIN(fin_nuit-1,Horaires356739[[#This Row],[début]]),0))*24)</f>
        <v>0</v>
      </c>
      <c r="O23" s="55">
        <f>(MAX(0,MIN(Horaires356739[[#This Row],[Fin corrigée si nuit]],fin_nuit)-MAX(Horaires356739[[#This Row],[début]],deb_nuit))-IF(Horaires356739[[#This Row],[PNP Début]]=0,0,MIN(Horaires356739[[#This Row],[PNP Fin corrigée]],fin_nuit)-MAX(Horaires356739[[#This Row],[PNP Début corrigé]],deb_nuit)))*24</f>
        <v>0</v>
      </c>
      <c r="P23" s="55">
        <f>(IF(WEEKDAY(Horaires356739[[#This Row],[Date]],2)=7,MAX(0,MIN(fin_dimJF,Horaires356739[[#This Row],[Fin corrigée si nuit]])-MAX(deb_dimJF,Horaires356739[[#This Row],[début]])),0)+IF(WEEKDAY(Horaires356739[[#This Row],[Date]],2)=6,MAX(0,Horaires356739[[#This Row],[Fin corrigée si nuit]]-(1+deb_dimJF)),0))*24</f>
        <v>0</v>
      </c>
      <c r="Q23" s="55">
        <f>(IF(WEEKDAY(Horaires356739[[#This Row],[Date]],2)=7,MAX(0,MIN(fin_dimJF,Horaires356739[[#This Row],[Fin corrigée si nuit]])-MAX(deb_dimJF,Horaires356739[[#This Row],[début]])),0)+IF(WEEKDAY(Horaires356739[[#This Row],[Date]],2)=6,MAX(0,Horaires356739[[#This Row],[Fin corrigée si nuit]]-(1+deb_dimJF)),0))*24-
(IF(WEEKDAY(Horaires356739[[#This Row],[Date]],2)=7,MAX(0,MIN(fin_dimJF,Horaires356739[[#This Row],[PNP Fin corrigée]])-MAX(deb_dimJF,Horaires356739[[#This Row],[PNP Début corrigé]])),0)+IF(WEEKDAY(Horaires356739[[#This Row],[Date]],2)=6,MAX(0,Horaires356739[[#This Row],[PNP Fin corrigée]]-(1+deb_dimJF)),0))*24</f>
        <v>0</v>
      </c>
      <c r="R23" s="55">
        <f>(IF(COUNTIF(JF,Horaires356739[[#This Row],[Date]]),MAX(0,MIN(fin_dimJF,Horaires356739[[#This Row],[Fin corrigée si nuit]])-MAX(deb_dimJF,Horaires356739[[#This Row],[début]])),0)+IF(COUNTIF(JF,Horaires356739[[#This Row],[Date]]+1),MAX(0,Horaires356739[[#This Row],[Fin corrigée si nuit]]-(1+deb_dimJF)),0))*24</f>
        <v>0</v>
      </c>
      <c r="S23" s="55">
        <f>(IF(COUNTIF(JF,Horaires356739[[#This Row],[Date]]),MAX(0,MIN(fin_dimJF,Horaires356739[[#This Row],[Fin corrigée si nuit]])-MAX(deb_dimJF,Horaires356739[[#This Row],[début]])),0)+IF(COUNTIF(JF,Horaires356739[[#This Row],[Date]]+1),MAX(0,Horaires356739[[#This Row],[Fin corrigée si nuit]]-(1+deb_dimJF)),0))*24-
(IF(COUNTIF(JF,Horaires356739[[#This Row],[Date]]),MAX(0,MIN(fin_dimJF,Horaires356739[[#This Row],[PNP Fin corrigée]])-MAX(deb_dimJF,Horaires356739[[#This Row],[PNP Début corrigé]])),0)+IF(COUNTIF(JF,Horaires356739[[#This Row],[Date]]+1),MAX(0,Horaires356739[[#This Row],[PNP Fin corrigée]]-(1+deb_dimJF)),0))*24</f>
        <v>0</v>
      </c>
    </row>
    <row r="24" spans="1:19" x14ac:dyDescent="0.35">
      <c r="A24" s="5"/>
      <c r="B24" s="1"/>
      <c r="C24" s="2"/>
      <c r="D24" s="2"/>
      <c r="E24" s="3"/>
      <c r="F24" s="3"/>
      <c r="G24" s="3"/>
      <c r="H24" s="3"/>
      <c r="I24" s="51">
        <f>0.1*(Horaires356739[[#This Row],[Heures de nuit]]+Horaires356739[[#This Row],[heures jour dimanche]]+Horaires356739[[#This Row],[heures jour fériés]])</f>
        <v>0</v>
      </c>
      <c r="J24" s="52">
        <f>(MOD(Horaires356739[[#This Row],[Fin]]-Horaires356739[[#This Row],[début]],1)-MOD(Horaires356739[[#This Row],[PNP Fin]]-Horaires356739[[#This Row],[PNP Début]],1))*24</f>
        <v>0</v>
      </c>
      <c r="K24" s="53">
        <f>IF(Horaires356739[[#This Row],[PNP Début]]=0,0,IF(Horaires356739[[#This Row],[PNP Début]]&lt;Horaires356739[[#This Row],[début]],1,0)+Horaires356739[[#This Row],[PNP Début]])</f>
        <v>0</v>
      </c>
      <c r="L24" s="54">
        <f>IF(Horaires356739[[#This Row],[PNP Fin]]=0,0,IF(Horaires356739[[#This Row],[PNP Fin]]&lt;Horaires356739[[#This Row],[début]],1,0)+Horaires356739[[#This Row],[PNP Fin]])</f>
        <v>0</v>
      </c>
      <c r="M24" s="54">
        <f>IF(Horaires356739[[#This Row],[Fin]]&lt;Horaires356739[[#This Row],[début]],1,0)+Horaires356739[[#This Row],[Fin]]</f>
        <v>0</v>
      </c>
      <c r="N24" s="35">
        <f>IF(Horaires356739[[#This Row],[Fin]]&lt;Horaires356739[[#This Row],[début]],MAX(0,MIN(Horaires356739[[#This Row],[Fin corrigée si nuit]],fin_nuit)-MAX(Horaires356739[[#This Row],[début]],deb_nuit))*24,(MAX(deb_nuit,Horaires356739[[#This Row],[Fin]])-MAX(deb_nuit,Horaires356739[[#This Row],[début]])+MAX(MIN(fin_nuit-1,Horaires356739[[#This Row],[Fin]])-MIN(fin_nuit-1,Horaires356739[[#This Row],[début]]),0))*24)</f>
        <v>0</v>
      </c>
      <c r="O24" s="55">
        <f>(MAX(0,MIN(Horaires356739[[#This Row],[Fin corrigée si nuit]],fin_nuit)-MAX(Horaires356739[[#This Row],[début]],deb_nuit))-IF(Horaires356739[[#This Row],[PNP Début]]=0,0,MIN(Horaires356739[[#This Row],[PNP Fin corrigée]],fin_nuit)-MAX(Horaires356739[[#This Row],[PNP Début corrigé]],deb_nuit)))*24</f>
        <v>0</v>
      </c>
      <c r="P24" s="55">
        <f>(IF(WEEKDAY(Horaires356739[[#This Row],[Date]],2)=7,MAX(0,MIN(fin_dimJF,Horaires356739[[#This Row],[Fin corrigée si nuit]])-MAX(deb_dimJF,Horaires356739[[#This Row],[début]])),0)+IF(WEEKDAY(Horaires356739[[#This Row],[Date]],2)=6,MAX(0,Horaires356739[[#This Row],[Fin corrigée si nuit]]-(1+deb_dimJF)),0))*24</f>
        <v>0</v>
      </c>
      <c r="Q24" s="55">
        <f>(IF(WEEKDAY(Horaires356739[[#This Row],[Date]],2)=7,MAX(0,MIN(fin_dimJF,Horaires356739[[#This Row],[Fin corrigée si nuit]])-MAX(deb_dimJF,Horaires356739[[#This Row],[début]])),0)+IF(WEEKDAY(Horaires356739[[#This Row],[Date]],2)=6,MAX(0,Horaires356739[[#This Row],[Fin corrigée si nuit]]-(1+deb_dimJF)),0))*24-
(IF(WEEKDAY(Horaires356739[[#This Row],[Date]],2)=7,MAX(0,MIN(fin_dimJF,Horaires356739[[#This Row],[PNP Fin corrigée]])-MAX(deb_dimJF,Horaires356739[[#This Row],[PNP Début corrigé]])),0)+IF(WEEKDAY(Horaires356739[[#This Row],[Date]],2)=6,MAX(0,Horaires356739[[#This Row],[PNP Fin corrigée]]-(1+deb_dimJF)),0))*24</f>
        <v>0</v>
      </c>
      <c r="R24" s="55">
        <f>(IF(COUNTIF(JF,Horaires356739[[#This Row],[Date]]),MAX(0,MIN(fin_dimJF,Horaires356739[[#This Row],[Fin corrigée si nuit]])-MAX(deb_dimJF,Horaires356739[[#This Row],[début]])),0)+IF(COUNTIF(JF,Horaires356739[[#This Row],[Date]]+1),MAX(0,Horaires356739[[#This Row],[Fin corrigée si nuit]]-(1+deb_dimJF)),0))*24</f>
        <v>0</v>
      </c>
      <c r="S24" s="55">
        <f>(IF(COUNTIF(JF,Horaires356739[[#This Row],[Date]]),MAX(0,MIN(fin_dimJF,Horaires356739[[#This Row],[Fin corrigée si nuit]])-MAX(deb_dimJF,Horaires356739[[#This Row],[début]])),0)+IF(COUNTIF(JF,Horaires356739[[#This Row],[Date]]+1),MAX(0,Horaires356739[[#This Row],[Fin corrigée si nuit]]-(1+deb_dimJF)),0))*24-
(IF(COUNTIF(JF,Horaires356739[[#This Row],[Date]]),MAX(0,MIN(fin_dimJF,Horaires356739[[#This Row],[PNP Fin corrigée]])-MAX(deb_dimJF,Horaires356739[[#This Row],[PNP Début corrigé]])),0)+IF(COUNTIF(JF,Horaires356739[[#This Row],[Date]]+1),MAX(0,Horaires356739[[#This Row],[PNP Fin corrigée]]-(1+deb_dimJF)),0))*24</f>
        <v>0</v>
      </c>
    </row>
    <row r="25" spans="1:19" x14ac:dyDescent="0.35">
      <c r="A25" s="5"/>
      <c r="B25" s="1"/>
      <c r="C25" s="2"/>
      <c r="D25" s="2"/>
      <c r="E25" s="3"/>
      <c r="F25" s="3"/>
      <c r="G25" s="3"/>
      <c r="H25" s="3"/>
      <c r="I25" s="51">
        <f>0.1*(Horaires356739[[#This Row],[Heures de nuit]]+Horaires356739[[#This Row],[heures jour dimanche]]+Horaires356739[[#This Row],[heures jour fériés]])</f>
        <v>0</v>
      </c>
      <c r="J25" s="52">
        <f>(MOD(Horaires356739[[#This Row],[Fin]]-Horaires356739[[#This Row],[début]],1)-MOD(Horaires356739[[#This Row],[PNP Fin]]-Horaires356739[[#This Row],[PNP Début]],1))*24</f>
        <v>0</v>
      </c>
      <c r="K25" s="53">
        <f>IF(Horaires356739[[#This Row],[PNP Début]]=0,0,IF(Horaires356739[[#This Row],[PNP Début]]&lt;Horaires356739[[#This Row],[début]],1,0)+Horaires356739[[#This Row],[PNP Début]])</f>
        <v>0</v>
      </c>
      <c r="L25" s="54">
        <f>IF(Horaires356739[[#This Row],[PNP Fin]]=0,0,IF(Horaires356739[[#This Row],[PNP Fin]]&lt;Horaires356739[[#This Row],[début]],1,0)+Horaires356739[[#This Row],[PNP Fin]])</f>
        <v>0</v>
      </c>
      <c r="M25" s="54">
        <f>IF(Horaires356739[[#This Row],[Fin]]&lt;Horaires356739[[#This Row],[début]],1,0)+Horaires356739[[#This Row],[Fin]]</f>
        <v>0</v>
      </c>
      <c r="N25" s="35">
        <f>IF(Horaires356739[[#This Row],[Fin]]&lt;Horaires356739[[#This Row],[début]],MAX(0,MIN(Horaires356739[[#This Row],[Fin corrigée si nuit]],fin_nuit)-MAX(Horaires356739[[#This Row],[début]],deb_nuit))*24,(MAX(deb_nuit,Horaires356739[[#This Row],[Fin]])-MAX(deb_nuit,Horaires356739[[#This Row],[début]])+MAX(MIN(fin_nuit-1,Horaires356739[[#This Row],[Fin]])-MIN(fin_nuit-1,Horaires356739[[#This Row],[début]]),0))*24)</f>
        <v>0</v>
      </c>
      <c r="O25" s="55">
        <f>(MAX(0,MIN(Horaires356739[[#This Row],[Fin corrigée si nuit]],fin_nuit)-MAX(Horaires356739[[#This Row],[début]],deb_nuit))-IF(Horaires356739[[#This Row],[PNP Début]]=0,0,MIN(Horaires356739[[#This Row],[PNP Fin corrigée]],fin_nuit)-MAX(Horaires356739[[#This Row],[PNP Début corrigé]],deb_nuit)))*24</f>
        <v>0</v>
      </c>
      <c r="P25" s="55">
        <f>(IF(WEEKDAY(Horaires356739[[#This Row],[Date]],2)=7,MAX(0,MIN(fin_dimJF,Horaires356739[[#This Row],[Fin corrigée si nuit]])-MAX(deb_dimJF,Horaires356739[[#This Row],[début]])),0)+IF(WEEKDAY(Horaires356739[[#This Row],[Date]],2)=6,MAX(0,Horaires356739[[#This Row],[Fin corrigée si nuit]]-(1+deb_dimJF)),0))*24</f>
        <v>0</v>
      </c>
      <c r="Q25" s="55">
        <f>(IF(WEEKDAY(Horaires356739[[#This Row],[Date]],2)=7,MAX(0,MIN(fin_dimJF,Horaires356739[[#This Row],[Fin corrigée si nuit]])-MAX(deb_dimJF,Horaires356739[[#This Row],[début]])),0)+IF(WEEKDAY(Horaires356739[[#This Row],[Date]],2)=6,MAX(0,Horaires356739[[#This Row],[Fin corrigée si nuit]]-(1+deb_dimJF)),0))*24-
(IF(WEEKDAY(Horaires356739[[#This Row],[Date]],2)=7,MAX(0,MIN(fin_dimJF,Horaires356739[[#This Row],[PNP Fin corrigée]])-MAX(deb_dimJF,Horaires356739[[#This Row],[PNP Début corrigé]])),0)+IF(WEEKDAY(Horaires356739[[#This Row],[Date]],2)=6,MAX(0,Horaires356739[[#This Row],[PNP Fin corrigée]]-(1+deb_dimJF)),0))*24</f>
        <v>0</v>
      </c>
      <c r="R25" s="55">
        <f>(IF(COUNTIF(JF,Horaires356739[[#This Row],[Date]]),MAX(0,MIN(fin_dimJF,Horaires356739[[#This Row],[Fin corrigée si nuit]])-MAX(deb_dimJF,Horaires356739[[#This Row],[début]])),0)+IF(COUNTIF(JF,Horaires356739[[#This Row],[Date]]+1),MAX(0,Horaires356739[[#This Row],[Fin corrigée si nuit]]-(1+deb_dimJF)),0))*24</f>
        <v>0</v>
      </c>
      <c r="S25" s="55">
        <f>(IF(COUNTIF(JF,Horaires356739[[#This Row],[Date]]),MAX(0,MIN(fin_dimJF,Horaires356739[[#This Row],[Fin corrigée si nuit]])-MAX(deb_dimJF,Horaires356739[[#This Row],[début]])),0)+IF(COUNTIF(JF,Horaires356739[[#This Row],[Date]]+1),MAX(0,Horaires356739[[#This Row],[Fin corrigée si nuit]]-(1+deb_dimJF)),0))*24-
(IF(COUNTIF(JF,Horaires356739[[#This Row],[Date]]),MAX(0,MIN(fin_dimJF,Horaires356739[[#This Row],[PNP Fin corrigée]])-MAX(deb_dimJF,Horaires356739[[#This Row],[PNP Début corrigé]])),0)+IF(COUNTIF(JF,Horaires356739[[#This Row],[Date]]+1),MAX(0,Horaires356739[[#This Row],[PNP Fin corrigée]]-(1+deb_dimJF)),0))*24</f>
        <v>0</v>
      </c>
    </row>
    <row r="26" spans="1:19" ht="14.4" customHeight="1" x14ac:dyDescent="0.35">
      <c r="A26" s="5"/>
      <c r="B26" s="1"/>
      <c r="C26" s="2"/>
      <c r="D26" s="2"/>
      <c r="E26" s="3"/>
      <c r="F26" s="3"/>
      <c r="G26" s="3"/>
      <c r="H26" s="3"/>
      <c r="I26" s="51">
        <f>0.1*(Horaires356739[[#This Row],[Heures de nuit]]+Horaires356739[[#This Row],[heures jour dimanche]]+Horaires356739[[#This Row],[heures jour fériés]])</f>
        <v>0</v>
      </c>
      <c r="J26" s="52">
        <f>(MOD(Horaires356739[[#This Row],[Fin]]-Horaires356739[[#This Row],[début]],1)-MOD(Horaires356739[[#This Row],[PNP Fin]]-Horaires356739[[#This Row],[PNP Début]],1))*24</f>
        <v>0</v>
      </c>
      <c r="K26" s="53">
        <f>IF(Horaires356739[[#This Row],[PNP Début]]=0,0,IF(Horaires356739[[#This Row],[PNP Début]]&lt;Horaires356739[[#This Row],[début]],1,0)+Horaires356739[[#This Row],[PNP Début]])</f>
        <v>0</v>
      </c>
      <c r="L26" s="54">
        <f>IF(Horaires356739[[#This Row],[PNP Fin]]=0,0,IF(Horaires356739[[#This Row],[PNP Fin]]&lt;Horaires356739[[#This Row],[début]],1,0)+Horaires356739[[#This Row],[PNP Fin]])</f>
        <v>0</v>
      </c>
      <c r="M26" s="54">
        <f>IF(Horaires356739[[#This Row],[Fin]]&lt;Horaires356739[[#This Row],[début]],1,0)+Horaires356739[[#This Row],[Fin]]</f>
        <v>0</v>
      </c>
      <c r="N26" s="35">
        <f>IF(Horaires356739[[#This Row],[Fin]]&lt;Horaires356739[[#This Row],[début]],MAX(0,MIN(Horaires356739[[#This Row],[Fin corrigée si nuit]],fin_nuit)-MAX(Horaires356739[[#This Row],[début]],deb_nuit))*24,(MAX(deb_nuit,Horaires356739[[#This Row],[Fin]])-MAX(deb_nuit,Horaires356739[[#This Row],[début]])+MAX(MIN(fin_nuit-1,Horaires356739[[#This Row],[Fin]])-MIN(fin_nuit-1,Horaires356739[[#This Row],[début]]),0))*24)</f>
        <v>0</v>
      </c>
      <c r="O26" s="55">
        <f>(MAX(0,MIN(Horaires356739[[#This Row],[Fin corrigée si nuit]],fin_nuit)-MAX(Horaires356739[[#This Row],[début]],deb_nuit))-IF(Horaires356739[[#This Row],[PNP Début]]=0,0,MIN(Horaires356739[[#This Row],[PNP Fin corrigée]],fin_nuit)-MAX(Horaires356739[[#This Row],[PNP Début corrigé]],deb_nuit)))*24</f>
        <v>0</v>
      </c>
      <c r="P26" s="55">
        <f>(IF(WEEKDAY(Horaires356739[[#This Row],[Date]],2)=7,MAX(0,MIN(fin_dimJF,Horaires356739[[#This Row],[Fin corrigée si nuit]])-MAX(deb_dimJF,Horaires356739[[#This Row],[début]])),0)+IF(WEEKDAY(Horaires356739[[#This Row],[Date]],2)=6,MAX(0,Horaires356739[[#This Row],[Fin corrigée si nuit]]-(1+deb_dimJF)),0))*24</f>
        <v>0</v>
      </c>
      <c r="Q26" s="55">
        <f>(IF(WEEKDAY(Horaires356739[[#This Row],[Date]],2)=7,MAX(0,MIN(fin_dimJF,Horaires356739[[#This Row],[Fin corrigée si nuit]])-MAX(deb_dimJF,Horaires356739[[#This Row],[début]])),0)+IF(WEEKDAY(Horaires356739[[#This Row],[Date]],2)=6,MAX(0,Horaires356739[[#This Row],[Fin corrigée si nuit]]-(1+deb_dimJF)),0))*24-
(IF(WEEKDAY(Horaires356739[[#This Row],[Date]],2)=7,MAX(0,MIN(fin_dimJF,Horaires356739[[#This Row],[PNP Fin corrigée]])-MAX(deb_dimJF,Horaires356739[[#This Row],[PNP Début corrigé]])),0)+IF(WEEKDAY(Horaires356739[[#This Row],[Date]],2)=6,MAX(0,Horaires356739[[#This Row],[PNP Fin corrigée]]-(1+deb_dimJF)),0))*24</f>
        <v>0</v>
      </c>
      <c r="R26" s="55">
        <f>(IF(COUNTIF(JF,Horaires356739[[#This Row],[Date]]),MAX(0,MIN(fin_dimJF,Horaires356739[[#This Row],[Fin corrigée si nuit]])-MAX(deb_dimJF,Horaires356739[[#This Row],[début]])),0)+IF(COUNTIF(JF,Horaires356739[[#This Row],[Date]]+1),MAX(0,Horaires356739[[#This Row],[Fin corrigée si nuit]]-(1+deb_dimJF)),0))*24</f>
        <v>0</v>
      </c>
      <c r="S26" s="55">
        <f>(IF(COUNTIF(JF,Horaires356739[[#This Row],[Date]]),MAX(0,MIN(fin_dimJF,Horaires356739[[#This Row],[Fin corrigée si nuit]])-MAX(deb_dimJF,Horaires356739[[#This Row],[début]])),0)+IF(COUNTIF(JF,Horaires356739[[#This Row],[Date]]+1),MAX(0,Horaires356739[[#This Row],[Fin corrigée si nuit]]-(1+deb_dimJF)),0))*24-
(IF(COUNTIF(JF,Horaires356739[[#This Row],[Date]]),MAX(0,MIN(fin_dimJF,Horaires356739[[#This Row],[PNP Fin corrigée]])-MAX(deb_dimJF,Horaires356739[[#This Row],[PNP Début corrigé]])),0)+IF(COUNTIF(JF,Horaires356739[[#This Row],[Date]]+1),MAX(0,Horaires356739[[#This Row],[PNP Fin corrigée]]-(1+deb_dimJF)),0))*24</f>
        <v>0</v>
      </c>
    </row>
    <row r="27" spans="1:19" x14ac:dyDescent="0.35">
      <c r="A27" s="5"/>
      <c r="B27" s="1"/>
      <c r="C27" s="2"/>
      <c r="D27" s="2"/>
      <c r="E27" s="3"/>
      <c r="F27" s="3"/>
      <c r="G27" s="3"/>
      <c r="H27" s="3"/>
      <c r="I27" s="51">
        <f>0.1*(Horaires356739[[#This Row],[Heures de nuit]]+Horaires356739[[#This Row],[heures jour dimanche]]+Horaires356739[[#This Row],[heures jour fériés]])</f>
        <v>0</v>
      </c>
      <c r="J27" s="52">
        <f>(MOD(Horaires356739[[#This Row],[Fin]]-Horaires356739[[#This Row],[début]],1)-MOD(Horaires356739[[#This Row],[PNP Fin]]-Horaires356739[[#This Row],[PNP Début]],1))*24</f>
        <v>0</v>
      </c>
      <c r="K27" s="53">
        <f>IF(Horaires356739[[#This Row],[PNP Début]]=0,0,IF(Horaires356739[[#This Row],[PNP Début]]&lt;Horaires356739[[#This Row],[début]],1,0)+Horaires356739[[#This Row],[PNP Début]])</f>
        <v>0</v>
      </c>
      <c r="L27" s="54">
        <f>IF(Horaires356739[[#This Row],[PNP Fin]]=0,0,IF(Horaires356739[[#This Row],[PNP Fin]]&lt;Horaires356739[[#This Row],[début]],1,0)+Horaires356739[[#This Row],[PNP Fin]])</f>
        <v>0</v>
      </c>
      <c r="M27" s="54">
        <f>IF(Horaires356739[[#This Row],[Fin]]&lt;Horaires356739[[#This Row],[début]],1,0)+Horaires356739[[#This Row],[Fin]]</f>
        <v>0</v>
      </c>
      <c r="N27" s="35">
        <f>IF(Horaires356739[[#This Row],[Fin]]&lt;Horaires356739[[#This Row],[début]],MAX(0,MIN(Horaires356739[[#This Row],[Fin corrigée si nuit]],fin_nuit)-MAX(Horaires356739[[#This Row],[début]],deb_nuit))*24,(MAX(deb_nuit,Horaires356739[[#This Row],[Fin]])-MAX(deb_nuit,Horaires356739[[#This Row],[début]])+MAX(MIN(fin_nuit-1,Horaires356739[[#This Row],[Fin]])-MIN(fin_nuit-1,Horaires356739[[#This Row],[début]]),0))*24)</f>
        <v>0</v>
      </c>
      <c r="O27" s="55">
        <f>(MAX(0,MIN(Horaires356739[[#This Row],[Fin corrigée si nuit]],fin_nuit)-MAX(Horaires356739[[#This Row],[début]],deb_nuit))-IF(Horaires356739[[#This Row],[PNP Début]]=0,0,MIN(Horaires356739[[#This Row],[PNP Fin corrigée]],fin_nuit)-MAX(Horaires356739[[#This Row],[PNP Début corrigé]],deb_nuit)))*24</f>
        <v>0</v>
      </c>
      <c r="P27" s="55">
        <f>(IF(WEEKDAY(Horaires356739[[#This Row],[Date]],2)=7,MAX(0,MIN(fin_dimJF,Horaires356739[[#This Row],[Fin corrigée si nuit]])-MAX(deb_dimJF,Horaires356739[[#This Row],[début]])),0)+IF(WEEKDAY(Horaires356739[[#This Row],[Date]],2)=6,MAX(0,Horaires356739[[#This Row],[Fin corrigée si nuit]]-(1+deb_dimJF)),0))*24</f>
        <v>0</v>
      </c>
      <c r="Q27" s="55">
        <f>(IF(WEEKDAY(Horaires356739[[#This Row],[Date]],2)=7,MAX(0,MIN(fin_dimJF,Horaires356739[[#This Row],[Fin corrigée si nuit]])-MAX(deb_dimJF,Horaires356739[[#This Row],[début]])),0)+IF(WEEKDAY(Horaires356739[[#This Row],[Date]],2)=6,MAX(0,Horaires356739[[#This Row],[Fin corrigée si nuit]]-(1+deb_dimJF)),0))*24-
(IF(WEEKDAY(Horaires356739[[#This Row],[Date]],2)=7,MAX(0,MIN(fin_dimJF,Horaires356739[[#This Row],[PNP Fin corrigée]])-MAX(deb_dimJF,Horaires356739[[#This Row],[PNP Début corrigé]])),0)+IF(WEEKDAY(Horaires356739[[#This Row],[Date]],2)=6,MAX(0,Horaires356739[[#This Row],[PNP Fin corrigée]]-(1+deb_dimJF)),0))*24</f>
        <v>0</v>
      </c>
      <c r="R27" s="55">
        <f>(IF(COUNTIF(JF,Horaires356739[[#This Row],[Date]]),MAX(0,MIN(fin_dimJF,Horaires356739[[#This Row],[Fin corrigée si nuit]])-MAX(deb_dimJF,Horaires356739[[#This Row],[début]])),0)+IF(COUNTIF(JF,Horaires356739[[#This Row],[Date]]+1),MAX(0,Horaires356739[[#This Row],[Fin corrigée si nuit]]-(1+deb_dimJF)),0))*24</f>
        <v>0</v>
      </c>
      <c r="S27" s="55">
        <f>(IF(COUNTIF(JF,Horaires356739[[#This Row],[Date]]),MAX(0,MIN(fin_dimJF,Horaires356739[[#This Row],[Fin corrigée si nuit]])-MAX(deb_dimJF,Horaires356739[[#This Row],[début]])),0)+IF(COUNTIF(JF,Horaires356739[[#This Row],[Date]]+1),MAX(0,Horaires356739[[#This Row],[Fin corrigée si nuit]]-(1+deb_dimJF)),0))*24-
(IF(COUNTIF(JF,Horaires356739[[#This Row],[Date]]),MAX(0,MIN(fin_dimJF,Horaires356739[[#This Row],[PNP Fin corrigée]])-MAX(deb_dimJF,Horaires356739[[#This Row],[PNP Début corrigé]])),0)+IF(COUNTIF(JF,Horaires356739[[#This Row],[Date]]+1),MAX(0,Horaires356739[[#This Row],[PNP Fin corrigée]]-(1+deb_dimJF)),0))*24</f>
        <v>0</v>
      </c>
    </row>
    <row r="28" spans="1:19" x14ac:dyDescent="0.35">
      <c r="A28" s="5"/>
      <c r="B28" s="1"/>
      <c r="C28" s="2"/>
      <c r="D28" s="2"/>
      <c r="E28" s="3"/>
      <c r="F28" s="3"/>
      <c r="G28" s="3"/>
      <c r="H28" s="3"/>
      <c r="I28" s="51">
        <f>0.1*(Horaires356739[[#This Row],[Heures de nuit]]+Horaires356739[[#This Row],[heures jour dimanche]]+Horaires356739[[#This Row],[heures jour fériés]])</f>
        <v>0</v>
      </c>
      <c r="J28" s="52">
        <f>(MOD(Horaires356739[[#This Row],[Fin]]-Horaires356739[[#This Row],[début]],1)-MOD(Horaires356739[[#This Row],[PNP Fin]]-Horaires356739[[#This Row],[PNP Début]],1))*24</f>
        <v>0</v>
      </c>
      <c r="K28" s="53">
        <f>IF(Horaires356739[[#This Row],[PNP Début]]=0,0,IF(Horaires356739[[#This Row],[PNP Début]]&lt;Horaires356739[[#This Row],[début]],1,0)+Horaires356739[[#This Row],[PNP Début]])</f>
        <v>0</v>
      </c>
      <c r="L28" s="54">
        <f>IF(Horaires356739[[#This Row],[PNP Fin]]=0,0,IF(Horaires356739[[#This Row],[PNP Fin]]&lt;Horaires356739[[#This Row],[début]],1,0)+Horaires356739[[#This Row],[PNP Fin]])</f>
        <v>0</v>
      </c>
      <c r="M28" s="54">
        <f>IF(Horaires356739[[#This Row],[Fin]]&lt;Horaires356739[[#This Row],[début]],1,0)+Horaires356739[[#This Row],[Fin]]</f>
        <v>0</v>
      </c>
      <c r="N28" s="35">
        <f>IF(Horaires356739[[#This Row],[Fin]]&lt;Horaires356739[[#This Row],[début]],MAX(0,MIN(Horaires356739[[#This Row],[Fin corrigée si nuit]],fin_nuit)-MAX(Horaires356739[[#This Row],[début]],deb_nuit))*24,(MAX(deb_nuit,Horaires356739[[#This Row],[Fin]])-MAX(deb_nuit,Horaires356739[[#This Row],[début]])+MAX(MIN(fin_nuit-1,Horaires356739[[#This Row],[Fin]])-MIN(fin_nuit-1,Horaires356739[[#This Row],[début]]),0))*24)</f>
        <v>0</v>
      </c>
      <c r="O28" s="55">
        <f>(MAX(0,MIN(Horaires356739[[#This Row],[Fin corrigée si nuit]],fin_nuit)-MAX(Horaires356739[[#This Row],[début]],deb_nuit))-IF(Horaires356739[[#This Row],[PNP Début]]=0,0,MIN(Horaires356739[[#This Row],[PNP Fin corrigée]],fin_nuit)-MAX(Horaires356739[[#This Row],[PNP Début corrigé]],deb_nuit)))*24</f>
        <v>0</v>
      </c>
      <c r="P28" s="55">
        <f>(IF(WEEKDAY(Horaires356739[[#This Row],[Date]],2)=7,MAX(0,MIN(fin_dimJF,Horaires356739[[#This Row],[Fin corrigée si nuit]])-MAX(deb_dimJF,Horaires356739[[#This Row],[début]])),0)+IF(WEEKDAY(Horaires356739[[#This Row],[Date]],2)=6,MAX(0,Horaires356739[[#This Row],[Fin corrigée si nuit]]-(1+deb_dimJF)),0))*24</f>
        <v>0</v>
      </c>
      <c r="Q28" s="55">
        <f>(IF(WEEKDAY(Horaires356739[[#This Row],[Date]],2)=7,MAX(0,MIN(fin_dimJF,Horaires356739[[#This Row],[Fin corrigée si nuit]])-MAX(deb_dimJF,Horaires356739[[#This Row],[début]])),0)+IF(WEEKDAY(Horaires356739[[#This Row],[Date]],2)=6,MAX(0,Horaires356739[[#This Row],[Fin corrigée si nuit]]-(1+deb_dimJF)),0))*24-
(IF(WEEKDAY(Horaires356739[[#This Row],[Date]],2)=7,MAX(0,MIN(fin_dimJF,Horaires356739[[#This Row],[PNP Fin corrigée]])-MAX(deb_dimJF,Horaires356739[[#This Row],[PNP Début corrigé]])),0)+IF(WEEKDAY(Horaires356739[[#This Row],[Date]],2)=6,MAX(0,Horaires356739[[#This Row],[PNP Fin corrigée]]-(1+deb_dimJF)),0))*24</f>
        <v>0</v>
      </c>
      <c r="R28" s="55">
        <f>(IF(COUNTIF(JF,Horaires356739[[#This Row],[Date]]),MAX(0,MIN(fin_dimJF,Horaires356739[[#This Row],[Fin corrigée si nuit]])-MAX(deb_dimJF,Horaires356739[[#This Row],[début]])),0)+IF(COUNTIF(JF,Horaires356739[[#This Row],[Date]]+1),MAX(0,Horaires356739[[#This Row],[Fin corrigée si nuit]]-(1+deb_dimJF)),0))*24</f>
        <v>0</v>
      </c>
      <c r="S28" s="55">
        <f>(IF(COUNTIF(JF,Horaires356739[[#This Row],[Date]]),MAX(0,MIN(fin_dimJF,Horaires356739[[#This Row],[Fin corrigée si nuit]])-MAX(deb_dimJF,Horaires356739[[#This Row],[début]])),0)+IF(COUNTIF(JF,Horaires356739[[#This Row],[Date]]+1),MAX(0,Horaires356739[[#This Row],[Fin corrigée si nuit]]-(1+deb_dimJF)),0))*24-
(IF(COUNTIF(JF,Horaires356739[[#This Row],[Date]]),MAX(0,MIN(fin_dimJF,Horaires356739[[#This Row],[PNP Fin corrigée]])-MAX(deb_dimJF,Horaires356739[[#This Row],[PNP Début corrigé]])),0)+IF(COUNTIF(JF,Horaires356739[[#This Row],[Date]]+1),MAX(0,Horaires356739[[#This Row],[PNP Fin corrigée]]-(1+deb_dimJF)),0))*24</f>
        <v>0</v>
      </c>
    </row>
    <row r="29" spans="1:19" x14ac:dyDescent="0.35">
      <c r="A29" s="5"/>
      <c r="B29" s="1"/>
      <c r="C29" s="2"/>
      <c r="D29" s="2"/>
      <c r="E29" s="3"/>
      <c r="F29" s="3"/>
      <c r="G29" s="3"/>
      <c r="H29" s="3"/>
      <c r="I29" s="51">
        <f>0.1*(Horaires356739[[#This Row],[Heures de nuit]]+Horaires356739[[#This Row],[heures jour dimanche]]+Horaires356739[[#This Row],[heures jour fériés]])</f>
        <v>0</v>
      </c>
      <c r="J29" s="52">
        <f>(MOD(Horaires356739[[#This Row],[Fin]]-Horaires356739[[#This Row],[début]],1)-MOD(Horaires356739[[#This Row],[PNP Fin]]-Horaires356739[[#This Row],[PNP Début]],1))*24</f>
        <v>0</v>
      </c>
      <c r="K29" s="53">
        <f>IF(Horaires356739[[#This Row],[PNP Début]]=0,0,IF(Horaires356739[[#This Row],[PNP Début]]&lt;Horaires356739[[#This Row],[début]],1,0)+Horaires356739[[#This Row],[PNP Début]])</f>
        <v>0</v>
      </c>
      <c r="L29" s="54">
        <f>IF(Horaires356739[[#This Row],[PNP Fin]]=0,0,IF(Horaires356739[[#This Row],[PNP Fin]]&lt;Horaires356739[[#This Row],[début]],1,0)+Horaires356739[[#This Row],[PNP Fin]])</f>
        <v>0</v>
      </c>
      <c r="M29" s="54">
        <f>IF(Horaires356739[[#This Row],[Fin]]&lt;Horaires356739[[#This Row],[début]],1,0)+Horaires356739[[#This Row],[Fin]]</f>
        <v>0</v>
      </c>
      <c r="N29" s="35">
        <f>IF(Horaires356739[[#This Row],[Fin]]&lt;Horaires356739[[#This Row],[début]],MAX(0,MIN(Horaires356739[[#This Row],[Fin corrigée si nuit]],fin_nuit)-MAX(Horaires356739[[#This Row],[début]],deb_nuit))*24,(MAX(deb_nuit,Horaires356739[[#This Row],[Fin]])-MAX(deb_nuit,Horaires356739[[#This Row],[début]])+MAX(MIN(fin_nuit-1,Horaires356739[[#This Row],[Fin]])-MIN(fin_nuit-1,Horaires356739[[#This Row],[début]]),0))*24)</f>
        <v>0</v>
      </c>
      <c r="O29" s="55">
        <f>(MAX(0,MIN(Horaires356739[[#This Row],[Fin corrigée si nuit]],fin_nuit)-MAX(Horaires356739[[#This Row],[début]],deb_nuit))-IF(Horaires356739[[#This Row],[PNP Début]]=0,0,MIN(Horaires356739[[#This Row],[PNP Fin corrigée]],fin_nuit)-MAX(Horaires356739[[#This Row],[PNP Début corrigé]],deb_nuit)))*24</f>
        <v>0</v>
      </c>
      <c r="P29" s="55">
        <f>(IF(WEEKDAY(Horaires356739[[#This Row],[Date]],2)=7,MAX(0,MIN(fin_dimJF,Horaires356739[[#This Row],[Fin corrigée si nuit]])-MAX(deb_dimJF,Horaires356739[[#This Row],[début]])),0)+IF(WEEKDAY(Horaires356739[[#This Row],[Date]],2)=6,MAX(0,Horaires356739[[#This Row],[Fin corrigée si nuit]]-(1+deb_dimJF)),0))*24</f>
        <v>0</v>
      </c>
      <c r="Q29" s="55">
        <f>(IF(WEEKDAY(Horaires356739[[#This Row],[Date]],2)=7,MAX(0,MIN(fin_dimJF,Horaires356739[[#This Row],[Fin corrigée si nuit]])-MAX(deb_dimJF,Horaires356739[[#This Row],[début]])),0)+IF(WEEKDAY(Horaires356739[[#This Row],[Date]],2)=6,MAX(0,Horaires356739[[#This Row],[Fin corrigée si nuit]]-(1+deb_dimJF)),0))*24-
(IF(WEEKDAY(Horaires356739[[#This Row],[Date]],2)=7,MAX(0,MIN(fin_dimJF,Horaires356739[[#This Row],[PNP Fin corrigée]])-MAX(deb_dimJF,Horaires356739[[#This Row],[PNP Début corrigé]])),0)+IF(WEEKDAY(Horaires356739[[#This Row],[Date]],2)=6,MAX(0,Horaires356739[[#This Row],[PNP Fin corrigée]]-(1+deb_dimJF)),0))*24</f>
        <v>0</v>
      </c>
      <c r="R29" s="55">
        <f>(IF(COUNTIF(JF,Horaires356739[[#This Row],[Date]]),MAX(0,MIN(fin_dimJF,Horaires356739[[#This Row],[Fin corrigée si nuit]])-MAX(deb_dimJF,Horaires356739[[#This Row],[début]])),0)+IF(COUNTIF(JF,Horaires356739[[#This Row],[Date]]+1),MAX(0,Horaires356739[[#This Row],[Fin corrigée si nuit]]-(1+deb_dimJF)),0))*24</f>
        <v>0</v>
      </c>
      <c r="S29" s="55">
        <f>(IF(COUNTIF(JF,Horaires356739[[#This Row],[Date]]),MAX(0,MIN(fin_dimJF,Horaires356739[[#This Row],[Fin corrigée si nuit]])-MAX(deb_dimJF,Horaires356739[[#This Row],[début]])),0)+IF(COUNTIF(JF,Horaires356739[[#This Row],[Date]]+1),MAX(0,Horaires356739[[#This Row],[Fin corrigée si nuit]]-(1+deb_dimJF)),0))*24-
(IF(COUNTIF(JF,Horaires356739[[#This Row],[Date]]),MAX(0,MIN(fin_dimJF,Horaires356739[[#This Row],[PNP Fin corrigée]])-MAX(deb_dimJF,Horaires356739[[#This Row],[PNP Début corrigé]])),0)+IF(COUNTIF(JF,Horaires356739[[#This Row],[Date]]+1),MAX(0,Horaires356739[[#This Row],[PNP Fin corrigée]]-(1+deb_dimJF)),0))*24</f>
        <v>0</v>
      </c>
    </row>
    <row r="30" spans="1:19" x14ac:dyDescent="0.35">
      <c r="A30" s="5"/>
      <c r="B30" s="1"/>
      <c r="C30" s="2"/>
      <c r="D30" s="2"/>
      <c r="E30" s="3"/>
      <c r="F30" s="3"/>
      <c r="G30" s="3"/>
      <c r="H30" s="3"/>
      <c r="I30" s="51">
        <f>0.1*(Horaires356739[[#This Row],[Heures de nuit]]+Horaires356739[[#This Row],[heures jour dimanche]]+Horaires356739[[#This Row],[heures jour fériés]])</f>
        <v>0</v>
      </c>
      <c r="J30" s="52">
        <f>(MOD(Horaires356739[[#This Row],[Fin]]-Horaires356739[[#This Row],[début]],1)-MOD(Horaires356739[[#This Row],[PNP Fin]]-Horaires356739[[#This Row],[PNP Début]],1))*24</f>
        <v>0</v>
      </c>
      <c r="K30" s="53">
        <f>IF(Horaires356739[[#This Row],[PNP Début]]=0,0,IF(Horaires356739[[#This Row],[PNP Début]]&lt;Horaires356739[[#This Row],[début]],1,0)+Horaires356739[[#This Row],[PNP Début]])</f>
        <v>0</v>
      </c>
      <c r="L30" s="54">
        <f>IF(Horaires356739[[#This Row],[PNP Fin]]=0,0,IF(Horaires356739[[#This Row],[PNP Fin]]&lt;Horaires356739[[#This Row],[début]],1,0)+Horaires356739[[#This Row],[PNP Fin]])</f>
        <v>0</v>
      </c>
      <c r="M30" s="54">
        <f>IF(Horaires356739[[#This Row],[Fin]]&lt;Horaires356739[[#This Row],[début]],1,0)+Horaires356739[[#This Row],[Fin]]</f>
        <v>0</v>
      </c>
      <c r="N30" s="35">
        <f>IF(Horaires356739[[#This Row],[Fin]]&lt;Horaires356739[[#This Row],[début]],MAX(0,MIN(Horaires356739[[#This Row],[Fin corrigée si nuit]],fin_nuit)-MAX(Horaires356739[[#This Row],[début]],deb_nuit))*24,(MAX(deb_nuit,Horaires356739[[#This Row],[Fin]])-MAX(deb_nuit,Horaires356739[[#This Row],[début]])+MAX(MIN(fin_nuit-1,Horaires356739[[#This Row],[Fin]])-MIN(fin_nuit-1,Horaires356739[[#This Row],[début]]),0))*24)</f>
        <v>0</v>
      </c>
      <c r="O30" s="55">
        <f>(MAX(0,MIN(Horaires356739[[#This Row],[Fin corrigée si nuit]],fin_nuit)-MAX(Horaires356739[[#This Row],[début]],deb_nuit))-IF(Horaires356739[[#This Row],[PNP Début]]=0,0,MIN(Horaires356739[[#This Row],[PNP Fin corrigée]],fin_nuit)-MAX(Horaires356739[[#This Row],[PNP Début corrigé]],deb_nuit)))*24</f>
        <v>0</v>
      </c>
      <c r="P30" s="55">
        <f>(IF(WEEKDAY(Horaires356739[[#This Row],[Date]],2)=7,MAX(0,MIN(fin_dimJF,Horaires356739[[#This Row],[Fin corrigée si nuit]])-MAX(deb_dimJF,Horaires356739[[#This Row],[début]])),0)+IF(WEEKDAY(Horaires356739[[#This Row],[Date]],2)=6,MAX(0,Horaires356739[[#This Row],[Fin corrigée si nuit]]-(1+deb_dimJF)),0))*24</f>
        <v>0</v>
      </c>
      <c r="Q30" s="55">
        <f>(IF(WEEKDAY(Horaires356739[[#This Row],[Date]],2)=7,MAX(0,MIN(fin_dimJF,Horaires356739[[#This Row],[Fin corrigée si nuit]])-MAX(deb_dimJF,Horaires356739[[#This Row],[début]])),0)+IF(WEEKDAY(Horaires356739[[#This Row],[Date]],2)=6,MAX(0,Horaires356739[[#This Row],[Fin corrigée si nuit]]-(1+deb_dimJF)),0))*24-
(IF(WEEKDAY(Horaires356739[[#This Row],[Date]],2)=7,MAX(0,MIN(fin_dimJF,Horaires356739[[#This Row],[PNP Fin corrigée]])-MAX(deb_dimJF,Horaires356739[[#This Row],[PNP Début corrigé]])),0)+IF(WEEKDAY(Horaires356739[[#This Row],[Date]],2)=6,MAX(0,Horaires356739[[#This Row],[PNP Fin corrigée]]-(1+deb_dimJF)),0))*24</f>
        <v>0</v>
      </c>
      <c r="R30" s="55">
        <f>(IF(COUNTIF(JF,Horaires356739[[#This Row],[Date]]),MAX(0,MIN(fin_dimJF,Horaires356739[[#This Row],[Fin corrigée si nuit]])-MAX(deb_dimJF,Horaires356739[[#This Row],[début]])),0)+IF(COUNTIF(JF,Horaires356739[[#This Row],[Date]]+1),MAX(0,Horaires356739[[#This Row],[Fin corrigée si nuit]]-(1+deb_dimJF)),0))*24</f>
        <v>0</v>
      </c>
      <c r="S30" s="55">
        <f>(IF(COUNTIF(JF,Horaires356739[[#This Row],[Date]]),MAX(0,MIN(fin_dimJF,Horaires356739[[#This Row],[Fin corrigée si nuit]])-MAX(deb_dimJF,Horaires356739[[#This Row],[début]])),0)+IF(COUNTIF(JF,Horaires356739[[#This Row],[Date]]+1),MAX(0,Horaires356739[[#This Row],[Fin corrigée si nuit]]-(1+deb_dimJF)),0))*24-
(IF(COUNTIF(JF,Horaires356739[[#This Row],[Date]]),MAX(0,MIN(fin_dimJF,Horaires356739[[#This Row],[PNP Fin corrigée]])-MAX(deb_dimJF,Horaires356739[[#This Row],[PNP Début corrigé]])),0)+IF(COUNTIF(JF,Horaires356739[[#This Row],[Date]]+1),MAX(0,Horaires356739[[#This Row],[PNP Fin corrigée]]-(1+deb_dimJF)),0))*24</f>
        <v>0</v>
      </c>
    </row>
    <row r="31" spans="1:19" x14ac:dyDescent="0.35">
      <c r="A31" s="5"/>
      <c r="B31" s="1"/>
      <c r="C31" s="2"/>
      <c r="D31" s="2"/>
      <c r="E31" s="3"/>
      <c r="F31" s="3"/>
      <c r="G31" s="3"/>
      <c r="H31" s="3"/>
      <c r="I31" s="51">
        <f>0.1*(Horaires356739[[#This Row],[Heures de nuit]]+Horaires356739[[#This Row],[heures jour dimanche]]+Horaires356739[[#This Row],[heures jour fériés]])</f>
        <v>0</v>
      </c>
      <c r="J31" s="52">
        <f>(MOD(Horaires356739[[#This Row],[Fin]]-Horaires356739[[#This Row],[début]],1)-MOD(Horaires356739[[#This Row],[PNP Fin]]-Horaires356739[[#This Row],[PNP Début]],1))*24</f>
        <v>0</v>
      </c>
      <c r="K31" s="53">
        <f>IF(Horaires356739[[#This Row],[PNP Début]]=0,0,IF(Horaires356739[[#This Row],[PNP Début]]&lt;Horaires356739[[#This Row],[début]],1,0)+Horaires356739[[#This Row],[PNP Début]])</f>
        <v>0</v>
      </c>
      <c r="L31" s="54">
        <f>IF(Horaires356739[[#This Row],[PNP Fin]]=0,0,IF(Horaires356739[[#This Row],[PNP Fin]]&lt;Horaires356739[[#This Row],[début]],1,0)+Horaires356739[[#This Row],[PNP Fin]])</f>
        <v>0</v>
      </c>
      <c r="M31" s="54">
        <f>IF(Horaires356739[[#This Row],[Fin]]&lt;Horaires356739[[#This Row],[début]],1,0)+Horaires356739[[#This Row],[Fin]]</f>
        <v>0</v>
      </c>
      <c r="N31" s="35">
        <f>IF(Horaires356739[[#This Row],[Fin]]&lt;Horaires356739[[#This Row],[début]],MAX(0,MIN(Horaires356739[[#This Row],[Fin corrigée si nuit]],fin_nuit)-MAX(Horaires356739[[#This Row],[début]],deb_nuit))*24,(MAX(deb_nuit,Horaires356739[[#This Row],[Fin]])-MAX(deb_nuit,Horaires356739[[#This Row],[début]])+MAX(MIN(fin_nuit-1,Horaires356739[[#This Row],[Fin]])-MIN(fin_nuit-1,Horaires356739[[#This Row],[début]]),0))*24)</f>
        <v>0</v>
      </c>
      <c r="O31" s="55">
        <f>(MAX(0,MIN(Horaires356739[[#This Row],[Fin corrigée si nuit]],fin_nuit)-MAX(Horaires356739[[#This Row],[début]],deb_nuit))-IF(Horaires356739[[#This Row],[PNP Début]]=0,0,MIN(Horaires356739[[#This Row],[PNP Fin corrigée]],fin_nuit)-MAX(Horaires356739[[#This Row],[PNP Début corrigé]],deb_nuit)))*24</f>
        <v>0</v>
      </c>
      <c r="P31" s="55">
        <f>(IF(WEEKDAY(Horaires356739[[#This Row],[Date]],2)=7,MAX(0,MIN(fin_dimJF,Horaires356739[[#This Row],[Fin corrigée si nuit]])-MAX(deb_dimJF,Horaires356739[[#This Row],[début]])),0)+IF(WEEKDAY(Horaires356739[[#This Row],[Date]],2)=6,MAX(0,Horaires356739[[#This Row],[Fin corrigée si nuit]]-(1+deb_dimJF)),0))*24</f>
        <v>0</v>
      </c>
      <c r="Q31" s="55">
        <f>(IF(WEEKDAY(Horaires356739[[#This Row],[Date]],2)=7,MAX(0,MIN(fin_dimJF,Horaires356739[[#This Row],[Fin corrigée si nuit]])-MAX(deb_dimJF,Horaires356739[[#This Row],[début]])),0)+IF(WEEKDAY(Horaires356739[[#This Row],[Date]],2)=6,MAX(0,Horaires356739[[#This Row],[Fin corrigée si nuit]]-(1+deb_dimJF)),0))*24-
(IF(WEEKDAY(Horaires356739[[#This Row],[Date]],2)=7,MAX(0,MIN(fin_dimJF,Horaires356739[[#This Row],[PNP Fin corrigée]])-MAX(deb_dimJF,Horaires356739[[#This Row],[PNP Début corrigé]])),0)+IF(WEEKDAY(Horaires356739[[#This Row],[Date]],2)=6,MAX(0,Horaires356739[[#This Row],[PNP Fin corrigée]]-(1+deb_dimJF)),0))*24</f>
        <v>0</v>
      </c>
      <c r="R31" s="55">
        <f>(IF(COUNTIF(JF,Horaires356739[[#This Row],[Date]]),MAX(0,MIN(fin_dimJF,Horaires356739[[#This Row],[Fin corrigée si nuit]])-MAX(deb_dimJF,Horaires356739[[#This Row],[début]])),0)+IF(COUNTIF(JF,Horaires356739[[#This Row],[Date]]+1),MAX(0,Horaires356739[[#This Row],[Fin corrigée si nuit]]-(1+deb_dimJF)),0))*24</f>
        <v>0</v>
      </c>
      <c r="S31" s="55">
        <f>(IF(COUNTIF(JF,Horaires356739[[#This Row],[Date]]),MAX(0,MIN(fin_dimJF,Horaires356739[[#This Row],[Fin corrigée si nuit]])-MAX(deb_dimJF,Horaires356739[[#This Row],[début]])),0)+IF(COUNTIF(JF,Horaires356739[[#This Row],[Date]]+1),MAX(0,Horaires356739[[#This Row],[Fin corrigée si nuit]]-(1+deb_dimJF)),0))*24-
(IF(COUNTIF(JF,Horaires356739[[#This Row],[Date]]),MAX(0,MIN(fin_dimJF,Horaires356739[[#This Row],[PNP Fin corrigée]])-MAX(deb_dimJF,Horaires356739[[#This Row],[PNP Début corrigé]])),0)+IF(COUNTIF(JF,Horaires356739[[#This Row],[Date]]+1),MAX(0,Horaires356739[[#This Row],[PNP Fin corrigée]]-(1+deb_dimJF)),0))*24</f>
        <v>0</v>
      </c>
    </row>
    <row r="32" spans="1:19" ht="14.5" customHeight="1" x14ac:dyDescent="0.35">
      <c r="A32" s="5"/>
      <c r="B32" s="1"/>
      <c r="C32" s="2"/>
      <c r="D32" s="2"/>
      <c r="E32" s="3"/>
      <c r="F32" s="3"/>
      <c r="G32" s="3"/>
      <c r="H32" s="3"/>
      <c r="I32" s="51">
        <f>0.1*(Horaires356739[[#This Row],[Heures de nuit]]+Horaires356739[[#This Row],[heures jour dimanche]]+Horaires356739[[#This Row],[heures jour fériés]])</f>
        <v>0</v>
      </c>
      <c r="J32" s="52">
        <f>(MOD(Horaires356739[[#This Row],[Fin]]-Horaires356739[[#This Row],[début]],1)-MOD(Horaires356739[[#This Row],[PNP Fin]]-Horaires356739[[#This Row],[PNP Début]],1))*24</f>
        <v>0</v>
      </c>
      <c r="K32" s="53">
        <f>IF(Horaires356739[[#This Row],[PNP Début]]=0,0,IF(Horaires356739[[#This Row],[PNP Début]]&lt;Horaires356739[[#This Row],[début]],1,0)+Horaires356739[[#This Row],[PNP Début]])</f>
        <v>0</v>
      </c>
      <c r="L32" s="54">
        <f>IF(Horaires356739[[#This Row],[PNP Fin]]=0,0,IF(Horaires356739[[#This Row],[PNP Fin]]&lt;Horaires356739[[#This Row],[début]],1,0)+Horaires356739[[#This Row],[PNP Fin]])</f>
        <v>0</v>
      </c>
      <c r="M32" s="54">
        <f>IF(Horaires356739[[#This Row],[Fin]]&lt;Horaires356739[[#This Row],[début]],1,0)+Horaires356739[[#This Row],[Fin]]</f>
        <v>0</v>
      </c>
      <c r="N32" s="35">
        <f>IF(Horaires356739[[#This Row],[Fin]]&lt;Horaires356739[[#This Row],[début]],MAX(0,MIN(Horaires356739[[#This Row],[Fin corrigée si nuit]],fin_nuit)-MAX(Horaires356739[[#This Row],[début]],deb_nuit))*24,(MAX(deb_nuit,Horaires356739[[#This Row],[Fin]])-MAX(deb_nuit,Horaires356739[[#This Row],[début]])+MAX(MIN(fin_nuit-1,Horaires356739[[#This Row],[Fin]])-MIN(fin_nuit-1,Horaires356739[[#This Row],[début]]),0))*24)</f>
        <v>0</v>
      </c>
      <c r="O32" s="55">
        <f>(MAX(0,MIN(Horaires356739[[#This Row],[Fin corrigée si nuit]],fin_nuit)-MAX(Horaires356739[[#This Row],[début]],deb_nuit))-IF(Horaires356739[[#This Row],[PNP Début]]=0,0,MIN(Horaires356739[[#This Row],[PNP Fin corrigée]],fin_nuit)-MAX(Horaires356739[[#This Row],[PNP Début corrigé]],deb_nuit)))*24</f>
        <v>0</v>
      </c>
      <c r="P32" s="55">
        <f>(IF(WEEKDAY(Horaires356739[[#This Row],[Date]],2)=7,MAX(0,MIN(fin_dimJF,Horaires356739[[#This Row],[Fin corrigée si nuit]])-MAX(deb_dimJF,Horaires356739[[#This Row],[début]])),0)+IF(WEEKDAY(Horaires356739[[#This Row],[Date]],2)=6,MAX(0,Horaires356739[[#This Row],[Fin corrigée si nuit]]-(1+deb_dimJF)),0))*24</f>
        <v>0</v>
      </c>
      <c r="Q32" s="55">
        <f>(IF(WEEKDAY(Horaires356739[[#This Row],[Date]],2)=7,MAX(0,MIN(fin_dimJF,Horaires356739[[#This Row],[Fin corrigée si nuit]])-MAX(deb_dimJF,Horaires356739[[#This Row],[début]])),0)+IF(WEEKDAY(Horaires356739[[#This Row],[Date]],2)=6,MAX(0,Horaires356739[[#This Row],[Fin corrigée si nuit]]-(1+deb_dimJF)),0))*24-
(IF(WEEKDAY(Horaires356739[[#This Row],[Date]],2)=7,MAX(0,MIN(fin_dimJF,Horaires356739[[#This Row],[PNP Fin corrigée]])-MAX(deb_dimJF,Horaires356739[[#This Row],[PNP Début corrigé]])),0)+IF(WEEKDAY(Horaires356739[[#This Row],[Date]],2)=6,MAX(0,Horaires356739[[#This Row],[PNP Fin corrigée]]-(1+deb_dimJF)),0))*24</f>
        <v>0</v>
      </c>
      <c r="R32" s="55">
        <f>(IF(COUNTIF(JF,Horaires356739[[#This Row],[Date]]),MAX(0,MIN(fin_dimJF,Horaires356739[[#This Row],[Fin corrigée si nuit]])-MAX(deb_dimJF,Horaires356739[[#This Row],[début]])),0)+IF(COUNTIF(JF,Horaires356739[[#This Row],[Date]]+1),MAX(0,Horaires356739[[#This Row],[Fin corrigée si nuit]]-(1+deb_dimJF)),0))*24</f>
        <v>0</v>
      </c>
      <c r="S32" s="55">
        <f>(IF(COUNTIF(JF,Horaires356739[[#This Row],[Date]]),MAX(0,MIN(fin_dimJF,Horaires356739[[#This Row],[Fin corrigée si nuit]])-MAX(deb_dimJF,Horaires356739[[#This Row],[début]])),0)+IF(COUNTIF(JF,Horaires356739[[#This Row],[Date]]+1),MAX(0,Horaires356739[[#This Row],[Fin corrigée si nuit]]-(1+deb_dimJF)),0))*24-
(IF(COUNTIF(JF,Horaires356739[[#This Row],[Date]]),MAX(0,MIN(fin_dimJF,Horaires356739[[#This Row],[PNP Fin corrigée]])-MAX(deb_dimJF,Horaires356739[[#This Row],[PNP Début corrigé]])),0)+IF(COUNTIF(JF,Horaires356739[[#This Row],[Date]]+1),MAX(0,Horaires356739[[#This Row],[PNP Fin corrigée]]-(1+deb_dimJF)),0))*24</f>
        <v>0</v>
      </c>
    </row>
    <row r="33" spans="1:19" x14ac:dyDescent="0.35">
      <c r="A33" s="5"/>
      <c r="B33" s="1"/>
      <c r="C33" s="2"/>
      <c r="D33" s="2"/>
      <c r="E33" s="3"/>
      <c r="F33" s="3"/>
      <c r="G33" s="3"/>
      <c r="H33" s="3"/>
      <c r="I33" s="51">
        <f>0.1*(Horaires356739[[#This Row],[Heures de nuit]]+Horaires356739[[#This Row],[heures jour dimanche]]+Horaires356739[[#This Row],[heures jour fériés]])</f>
        <v>0</v>
      </c>
      <c r="J33" s="52">
        <f>(MOD(Horaires356739[[#This Row],[Fin]]-Horaires356739[[#This Row],[début]],1)-MOD(Horaires356739[[#This Row],[PNP Fin]]-Horaires356739[[#This Row],[PNP Début]],1))*24</f>
        <v>0</v>
      </c>
      <c r="K33" s="53">
        <f>IF(Horaires356739[[#This Row],[PNP Début]]=0,0,IF(Horaires356739[[#This Row],[PNP Début]]&lt;Horaires356739[[#This Row],[début]],1,0)+Horaires356739[[#This Row],[PNP Début]])</f>
        <v>0</v>
      </c>
      <c r="L33" s="54">
        <f>IF(Horaires356739[[#This Row],[PNP Fin]]=0,0,IF(Horaires356739[[#This Row],[PNP Fin]]&lt;Horaires356739[[#This Row],[début]],1,0)+Horaires356739[[#This Row],[PNP Fin]])</f>
        <v>0</v>
      </c>
      <c r="M33" s="54">
        <f>IF(Horaires356739[[#This Row],[Fin]]&lt;Horaires356739[[#This Row],[début]],1,0)+Horaires356739[[#This Row],[Fin]]</f>
        <v>0</v>
      </c>
      <c r="N33" s="35">
        <f>IF(Horaires356739[[#This Row],[Fin]]&lt;Horaires356739[[#This Row],[début]],MAX(0,MIN(Horaires356739[[#This Row],[Fin corrigée si nuit]],fin_nuit)-MAX(Horaires356739[[#This Row],[début]],deb_nuit))*24,(MAX(deb_nuit,Horaires356739[[#This Row],[Fin]])-MAX(deb_nuit,Horaires356739[[#This Row],[début]])+MAX(MIN(fin_nuit-1,Horaires356739[[#This Row],[Fin]])-MIN(fin_nuit-1,Horaires356739[[#This Row],[début]]),0))*24)</f>
        <v>0</v>
      </c>
      <c r="O33" s="55">
        <f>(MAX(0,MIN(Horaires356739[[#This Row],[Fin corrigée si nuit]],fin_nuit)-MAX(Horaires356739[[#This Row],[début]],deb_nuit))-IF(Horaires356739[[#This Row],[PNP Début]]=0,0,MIN(Horaires356739[[#This Row],[PNP Fin corrigée]],fin_nuit)-MAX(Horaires356739[[#This Row],[PNP Début corrigé]],deb_nuit)))*24</f>
        <v>0</v>
      </c>
      <c r="P33" s="55">
        <f>(IF(WEEKDAY(Horaires356739[[#This Row],[Date]],2)=7,MAX(0,MIN(fin_dimJF,Horaires356739[[#This Row],[Fin corrigée si nuit]])-MAX(deb_dimJF,Horaires356739[[#This Row],[début]])),0)+IF(WEEKDAY(Horaires356739[[#This Row],[Date]],2)=6,MAX(0,Horaires356739[[#This Row],[Fin corrigée si nuit]]-(1+deb_dimJF)),0))*24</f>
        <v>0</v>
      </c>
      <c r="Q33" s="55">
        <f>(IF(WEEKDAY(Horaires356739[[#This Row],[Date]],2)=7,MAX(0,MIN(fin_dimJF,Horaires356739[[#This Row],[Fin corrigée si nuit]])-MAX(deb_dimJF,Horaires356739[[#This Row],[début]])),0)+IF(WEEKDAY(Horaires356739[[#This Row],[Date]],2)=6,MAX(0,Horaires356739[[#This Row],[Fin corrigée si nuit]]-(1+deb_dimJF)),0))*24-
(IF(WEEKDAY(Horaires356739[[#This Row],[Date]],2)=7,MAX(0,MIN(fin_dimJF,Horaires356739[[#This Row],[PNP Fin corrigée]])-MAX(deb_dimJF,Horaires356739[[#This Row],[PNP Début corrigé]])),0)+IF(WEEKDAY(Horaires356739[[#This Row],[Date]],2)=6,MAX(0,Horaires356739[[#This Row],[PNP Fin corrigée]]-(1+deb_dimJF)),0))*24</f>
        <v>0</v>
      </c>
      <c r="R33" s="55">
        <f>(IF(COUNTIF(JF,Horaires356739[[#This Row],[Date]]),MAX(0,MIN(fin_dimJF,Horaires356739[[#This Row],[Fin corrigée si nuit]])-MAX(deb_dimJF,Horaires356739[[#This Row],[début]])),0)+IF(COUNTIF(JF,Horaires356739[[#This Row],[Date]]+1),MAX(0,Horaires356739[[#This Row],[Fin corrigée si nuit]]-(1+deb_dimJF)),0))*24</f>
        <v>0</v>
      </c>
      <c r="S33" s="55">
        <f>(IF(COUNTIF(JF,Horaires356739[[#This Row],[Date]]),MAX(0,MIN(fin_dimJF,Horaires356739[[#This Row],[Fin corrigée si nuit]])-MAX(deb_dimJF,Horaires356739[[#This Row],[début]])),0)+IF(COUNTIF(JF,Horaires356739[[#This Row],[Date]]+1),MAX(0,Horaires356739[[#This Row],[Fin corrigée si nuit]]-(1+deb_dimJF)),0))*24-
(IF(COUNTIF(JF,Horaires356739[[#This Row],[Date]]),MAX(0,MIN(fin_dimJF,Horaires356739[[#This Row],[PNP Fin corrigée]])-MAX(deb_dimJF,Horaires356739[[#This Row],[PNP Début corrigé]])),0)+IF(COUNTIF(JF,Horaires356739[[#This Row],[Date]]+1),MAX(0,Horaires356739[[#This Row],[PNP Fin corrigée]]-(1+deb_dimJF)),0))*24</f>
        <v>0</v>
      </c>
    </row>
    <row r="34" spans="1:19" x14ac:dyDescent="0.35">
      <c r="A34" s="5"/>
      <c r="B34" s="1"/>
      <c r="C34" s="2"/>
      <c r="D34" s="2"/>
      <c r="E34" s="3"/>
      <c r="F34" s="3"/>
      <c r="G34" s="3"/>
      <c r="H34" s="3"/>
      <c r="I34" s="51">
        <f>0.1*(Horaires356739[[#This Row],[Heures de nuit]]+Horaires356739[[#This Row],[heures jour dimanche]]+Horaires356739[[#This Row],[heures jour fériés]])</f>
        <v>0</v>
      </c>
      <c r="J34" s="52">
        <f>(MOD(Horaires356739[[#This Row],[Fin]]-Horaires356739[[#This Row],[début]],1)-MOD(Horaires356739[[#This Row],[PNP Fin]]-Horaires356739[[#This Row],[PNP Début]],1))*24</f>
        <v>0</v>
      </c>
      <c r="K34" s="53">
        <f>IF(Horaires356739[[#This Row],[PNP Début]]=0,0,IF(Horaires356739[[#This Row],[PNP Début]]&lt;Horaires356739[[#This Row],[début]],1,0)+Horaires356739[[#This Row],[PNP Début]])</f>
        <v>0</v>
      </c>
      <c r="L34" s="54">
        <f>IF(Horaires356739[[#This Row],[PNP Fin]]=0,0,IF(Horaires356739[[#This Row],[PNP Fin]]&lt;Horaires356739[[#This Row],[début]],1,0)+Horaires356739[[#This Row],[PNP Fin]])</f>
        <v>0</v>
      </c>
      <c r="M34" s="54">
        <f>IF(Horaires356739[[#This Row],[Fin]]&lt;Horaires356739[[#This Row],[début]],1,0)+Horaires356739[[#This Row],[Fin]]</f>
        <v>0</v>
      </c>
      <c r="N34" s="35">
        <f>IF(Horaires356739[[#This Row],[Fin]]&lt;Horaires356739[[#This Row],[début]],MAX(0,MIN(Horaires356739[[#This Row],[Fin corrigée si nuit]],fin_nuit)-MAX(Horaires356739[[#This Row],[début]],deb_nuit))*24,(MAX(deb_nuit,Horaires356739[[#This Row],[Fin]])-MAX(deb_nuit,Horaires356739[[#This Row],[début]])+MAX(MIN(fin_nuit-1,Horaires356739[[#This Row],[Fin]])-MIN(fin_nuit-1,Horaires356739[[#This Row],[début]]),0))*24)</f>
        <v>0</v>
      </c>
      <c r="O34" s="55">
        <f>(MAX(0,MIN(Horaires356739[[#This Row],[Fin corrigée si nuit]],fin_nuit)-MAX(Horaires356739[[#This Row],[début]],deb_nuit))-IF(Horaires356739[[#This Row],[PNP Début]]=0,0,MIN(Horaires356739[[#This Row],[PNP Fin corrigée]],fin_nuit)-MAX(Horaires356739[[#This Row],[PNP Début corrigé]],deb_nuit)))*24</f>
        <v>0</v>
      </c>
      <c r="P34" s="55">
        <f>(IF(WEEKDAY(Horaires356739[[#This Row],[Date]],2)=7,MAX(0,MIN(fin_dimJF,Horaires356739[[#This Row],[Fin corrigée si nuit]])-MAX(deb_dimJF,Horaires356739[[#This Row],[début]])),0)+IF(WEEKDAY(Horaires356739[[#This Row],[Date]],2)=6,MAX(0,Horaires356739[[#This Row],[Fin corrigée si nuit]]-(1+deb_dimJF)),0))*24</f>
        <v>0</v>
      </c>
      <c r="Q34" s="55">
        <f>(IF(WEEKDAY(Horaires356739[[#This Row],[Date]],2)=7,MAX(0,MIN(fin_dimJF,Horaires356739[[#This Row],[Fin corrigée si nuit]])-MAX(deb_dimJF,Horaires356739[[#This Row],[début]])),0)+IF(WEEKDAY(Horaires356739[[#This Row],[Date]],2)=6,MAX(0,Horaires356739[[#This Row],[Fin corrigée si nuit]]-(1+deb_dimJF)),0))*24-
(IF(WEEKDAY(Horaires356739[[#This Row],[Date]],2)=7,MAX(0,MIN(fin_dimJF,Horaires356739[[#This Row],[PNP Fin corrigée]])-MAX(deb_dimJF,Horaires356739[[#This Row],[PNP Début corrigé]])),0)+IF(WEEKDAY(Horaires356739[[#This Row],[Date]],2)=6,MAX(0,Horaires356739[[#This Row],[PNP Fin corrigée]]-(1+deb_dimJF)),0))*24</f>
        <v>0</v>
      </c>
      <c r="R34" s="55">
        <f>(IF(COUNTIF(JF,Horaires356739[[#This Row],[Date]]),MAX(0,MIN(fin_dimJF,Horaires356739[[#This Row],[Fin corrigée si nuit]])-MAX(deb_dimJF,Horaires356739[[#This Row],[début]])),0)+IF(COUNTIF(JF,Horaires356739[[#This Row],[Date]]+1),MAX(0,Horaires356739[[#This Row],[Fin corrigée si nuit]]-(1+deb_dimJF)),0))*24</f>
        <v>0</v>
      </c>
      <c r="S34" s="55">
        <f>(IF(COUNTIF(JF,Horaires356739[[#This Row],[Date]]),MAX(0,MIN(fin_dimJF,Horaires356739[[#This Row],[Fin corrigée si nuit]])-MAX(deb_dimJF,Horaires356739[[#This Row],[début]])),0)+IF(COUNTIF(JF,Horaires356739[[#This Row],[Date]]+1),MAX(0,Horaires356739[[#This Row],[Fin corrigée si nuit]]-(1+deb_dimJF)),0))*24-
(IF(COUNTIF(JF,Horaires356739[[#This Row],[Date]]),MAX(0,MIN(fin_dimJF,Horaires356739[[#This Row],[PNP Fin corrigée]])-MAX(deb_dimJF,Horaires356739[[#This Row],[PNP Début corrigé]])),0)+IF(COUNTIF(JF,Horaires356739[[#This Row],[Date]]+1),MAX(0,Horaires356739[[#This Row],[PNP Fin corrigée]]-(1+deb_dimJF)),0))*24</f>
        <v>0</v>
      </c>
    </row>
    <row r="35" spans="1:19" x14ac:dyDescent="0.35">
      <c r="A35" s="5"/>
      <c r="B35" s="1"/>
      <c r="C35" s="2"/>
      <c r="D35" s="2"/>
      <c r="E35" s="3"/>
      <c r="F35" s="3"/>
      <c r="G35" s="3"/>
      <c r="H35" s="3"/>
      <c r="I35" s="51">
        <f>0.1*(Horaires356739[[#This Row],[Heures de nuit]]+Horaires356739[[#This Row],[heures jour dimanche]]+Horaires356739[[#This Row],[heures jour fériés]])</f>
        <v>0</v>
      </c>
      <c r="J35" s="52">
        <f>(MOD(Horaires356739[[#This Row],[Fin]]-Horaires356739[[#This Row],[début]],1)-MOD(Horaires356739[[#This Row],[PNP Fin]]-Horaires356739[[#This Row],[PNP Début]],1))*24</f>
        <v>0</v>
      </c>
      <c r="K35" s="53">
        <f>IF(Horaires356739[[#This Row],[PNP Début]]=0,0,IF(Horaires356739[[#This Row],[PNP Début]]&lt;Horaires356739[[#This Row],[début]],1,0)+Horaires356739[[#This Row],[PNP Début]])</f>
        <v>0</v>
      </c>
      <c r="L35" s="54">
        <f>IF(Horaires356739[[#This Row],[PNP Fin]]=0,0,IF(Horaires356739[[#This Row],[PNP Fin]]&lt;Horaires356739[[#This Row],[début]],1,0)+Horaires356739[[#This Row],[PNP Fin]])</f>
        <v>0</v>
      </c>
      <c r="M35" s="54">
        <f>IF(Horaires356739[[#This Row],[Fin]]&lt;Horaires356739[[#This Row],[début]],1,0)+Horaires356739[[#This Row],[Fin]]</f>
        <v>0</v>
      </c>
      <c r="N35" s="35">
        <f>IF(Horaires356739[[#This Row],[Fin]]&lt;Horaires356739[[#This Row],[début]],MAX(0,MIN(Horaires356739[[#This Row],[Fin corrigée si nuit]],fin_nuit)-MAX(Horaires356739[[#This Row],[début]],deb_nuit))*24,(MAX(deb_nuit,Horaires356739[[#This Row],[Fin]])-MAX(deb_nuit,Horaires356739[[#This Row],[début]])+MAX(MIN(fin_nuit-1,Horaires356739[[#This Row],[Fin]])-MIN(fin_nuit-1,Horaires356739[[#This Row],[début]]),0))*24)</f>
        <v>0</v>
      </c>
      <c r="O35" s="55">
        <f>(MAX(0,MIN(Horaires356739[[#This Row],[Fin corrigée si nuit]],fin_nuit)-MAX(Horaires356739[[#This Row],[début]],deb_nuit))-IF(Horaires356739[[#This Row],[PNP Début]]=0,0,MIN(Horaires356739[[#This Row],[PNP Fin corrigée]],fin_nuit)-MAX(Horaires356739[[#This Row],[PNP Début corrigé]],deb_nuit)))*24</f>
        <v>0</v>
      </c>
      <c r="P35" s="55">
        <f>(IF(WEEKDAY(Horaires356739[[#This Row],[Date]],2)=7,MAX(0,MIN(fin_dimJF,Horaires356739[[#This Row],[Fin corrigée si nuit]])-MAX(deb_dimJF,Horaires356739[[#This Row],[début]])),0)+IF(WEEKDAY(Horaires356739[[#This Row],[Date]],2)=6,MAX(0,Horaires356739[[#This Row],[Fin corrigée si nuit]]-(1+deb_dimJF)),0))*24</f>
        <v>0</v>
      </c>
      <c r="Q35" s="55">
        <f>(IF(WEEKDAY(Horaires356739[[#This Row],[Date]],2)=7,MAX(0,MIN(fin_dimJF,Horaires356739[[#This Row],[Fin corrigée si nuit]])-MAX(deb_dimJF,Horaires356739[[#This Row],[début]])),0)+IF(WEEKDAY(Horaires356739[[#This Row],[Date]],2)=6,MAX(0,Horaires356739[[#This Row],[Fin corrigée si nuit]]-(1+deb_dimJF)),0))*24-
(IF(WEEKDAY(Horaires356739[[#This Row],[Date]],2)=7,MAX(0,MIN(fin_dimJF,Horaires356739[[#This Row],[PNP Fin corrigée]])-MAX(deb_dimJF,Horaires356739[[#This Row],[PNP Début corrigé]])),0)+IF(WEEKDAY(Horaires356739[[#This Row],[Date]],2)=6,MAX(0,Horaires356739[[#This Row],[PNP Fin corrigée]]-(1+deb_dimJF)),0))*24</f>
        <v>0</v>
      </c>
      <c r="R35" s="55">
        <f>(IF(COUNTIF(JF,Horaires356739[[#This Row],[Date]]),MAX(0,MIN(fin_dimJF,Horaires356739[[#This Row],[Fin corrigée si nuit]])-MAX(deb_dimJF,Horaires356739[[#This Row],[début]])),0)+IF(COUNTIF(JF,Horaires356739[[#This Row],[Date]]+1),MAX(0,Horaires356739[[#This Row],[Fin corrigée si nuit]]-(1+deb_dimJF)),0))*24</f>
        <v>0</v>
      </c>
      <c r="S35" s="55">
        <f>(IF(COUNTIF(JF,Horaires356739[[#This Row],[Date]]),MAX(0,MIN(fin_dimJF,Horaires356739[[#This Row],[Fin corrigée si nuit]])-MAX(deb_dimJF,Horaires356739[[#This Row],[début]])),0)+IF(COUNTIF(JF,Horaires356739[[#This Row],[Date]]+1),MAX(0,Horaires356739[[#This Row],[Fin corrigée si nuit]]-(1+deb_dimJF)),0))*24-
(IF(COUNTIF(JF,Horaires356739[[#This Row],[Date]]),MAX(0,MIN(fin_dimJF,Horaires356739[[#This Row],[PNP Fin corrigée]])-MAX(deb_dimJF,Horaires356739[[#This Row],[PNP Début corrigé]])),0)+IF(COUNTIF(JF,Horaires356739[[#This Row],[Date]]+1),MAX(0,Horaires356739[[#This Row],[PNP Fin corrigée]]-(1+deb_dimJF)),0))*24</f>
        <v>0</v>
      </c>
    </row>
    <row r="36" spans="1:19" x14ac:dyDescent="0.35">
      <c r="A36" s="5"/>
      <c r="B36" s="1"/>
      <c r="C36" s="2"/>
      <c r="D36" s="2"/>
      <c r="E36" s="3"/>
      <c r="F36" s="3"/>
      <c r="G36" s="3"/>
      <c r="H36" s="3"/>
      <c r="I36" s="51">
        <f>0.1*(Horaires356739[[#This Row],[Heures de nuit]]+Horaires356739[[#This Row],[heures jour dimanche]]+Horaires356739[[#This Row],[heures jour fériés]])</f>
        <v>0</v>
      </c>
      <c r="J36" s="52">
        <f>(MOD(Horaires356739[[#This Row],[Fin]]-Horaires356739[[#This Row],[début]],1)-MOD(Horaires356739[[#This Row],[PNP Fin]]-Horaires356739[[#This Row],[PNP Début]],1))*24</f>
        <v>0</v>
      </c>
      <c r="K36" s="53">
        <f>IF(Horaires356739[[#This Row],[PNP Début]]=0,0,IF(Horaires356739[[#This Row],[PNP Début]]&lt;Horaires356739[[#This Row],[début]],1,0)+Horaires356739[[#This Row],[PNP Début]])</f>
        <v>0</v>
      </c>
      <c r="L36" s="54">
        <f>IF(Horaires356739[[#This Row],[PNP Fin]]=0,0,IF(Horaires356739[[#This Row],[PNP Fin]]&lt;Horaires356739[[#This Row],[début]],1,0)+Horaires356739[[#This Row],[PNP Fin]])</f>
        <v>0</v>
      </c>
      <c r="M36" s="54">
        <f>IF(Horaires356739[[#This Row],[Fin]]&lt;Horaires356739[[#This Row],[début]],1,0)+Horaires356739[[#This Row],[Fin]]</f>
        <v>0</v>
      </c>
      <c r="N36" s="35">
        <f>IF(Horaires356739[[#This Row],[Fin]]&lt;Horaires356739[[#This Row],[début]],MAX(0,MIN(Horaires356739[[#This Row],[Fin corrigée si nuit]],fin_nuit)-MAX(Horaires356739[[#This Row],[début]],deb_nuit))*24,(MAX(deb_nuit,Horaires356739[[#This Row],[Fin]])-MAX(deb_nuit,Horaires356739[[#This Row],[début]])+MAX(MIN(fin_nuit-1,Horaires356739[[#This Row],[Fin]])-MIN(fin_nuit-1,Horaires356739[[#This Row],[début]]),0))*24)</f>
        <v>0</v>
      </c>
      <c r="O36" s="55">
        <f>(MAX(0,MIN(Horaires356739[[#This Row],[Fin corrigée si nuit]],fin_nuit)-MAX(Horaires356739[[#This Row],[début]],deb_nuit))-IF(Horaires356739[[#This Row],[PNP Début]]=0,0,MIN(Horaires356739[[#This Row],[PNP Fin corrigée]],fin_nuit)-MAX(Horaires356739[[#This Row],[PNP Début corrigé]],deb_nuit)))*24</f>
        <v>0</v>
      </c>
      <c r="P36" s="55">
        <f>(IF(WEEKDAY(Horaires356739[[#This Row],[Date]],2)=7,MAX(0,MIN(fin_dimJF,Horaires356739[[#This Row],[Fin corrigée si nuit]])-MAX(deb_dimJF,Horaires356739[[#This Row],[début]])),0)+IF(WEEKDAY(Horaires356739[[#This Row],[Date]],2)=6,MAX(0,Horaires356739[[#This Row],[Fin corrigée si nuit]]-(1+deb_dimJF)),0))*24</f>
        <v>0</v>
      </c>
      <c r="Q36" s="55">
        <f>(IF(WEEKDAY(Horaires356739[[#This Row],[Date]],2)=7,MAX(0,MIN(fin_dimJF,Horaires356739[[#This Row],[Fin corrigée si nuit]])-MAX(deb_dimJF,Horaires356739[[#This Row],[début]])),0)+IF(WEEKDAY(Horaires356739[[#This Row],[Date]],2)=6,MAX(0,Horaires356739[[#This Row],[Fin corrigée si nuit]]-(1+deb_dimJF)),0))*24-
(IF(WEEKDAY(Horaires356739[[#This Row],[Date]],2)=7,MAX(0,MIN(fin_dimJF,Horaires356739[[#This Row],[PNP Fin corrigée]])-MAX(deb_dimJF,Horaires356739[[#This Row],[PNP Début corrigé]])),0)+IF(WEEKDAY(Horaires356739[[#This Row],[Date]],2)=6,MAX(0,Horaires356739[[#This Row],[PNP Fin corrigée]]-(1+deb_dimJF)),0))*24</f>
        <v>0</v>
      </c>
      <c r="R36" s="55">
        <f>(IF(COUNTIF(JF,Horaires356739[[#This Row],[Date]]),MAX(0,MIN(fin_dimJF,Horaires356739[[#This Row],[Fin corrigée si nuit]])-MAX(deb_dimJF,Horaires356739[[#This Row],[début]])),0)+IF(COUNTIF(JF,Horaires356739[[#This Row],[Date]]+1),MAX(0,Horaires356739[[#This Row],[Fin corrigée si nuit]]-(1+deb_dimJF)),0))*24</f>
        <v>0</v>
      </c>
      <c r="S36" s="55">
        <f>(IF(COUNTIF(JF,Horaires356739[[#This Row],[Date]]),MAX(0,MIN(fin_dimJF,Horaires356739[[#This Row],[Fin corrigée si nuit]])-MAX(deb_dimJF,Horaires356739[[#This Row],[début]])),0)+IF(COUNTIF(JF,Horaires356739[[#This Row],[Date]]+1),MAX(0,Horaires356739[[#This Row],[Fin corrigée si nuit]]-(1+deb_dimJF)),0))*24-
(IF(COUNTIF(JF,Horaires356739[[#This Row],[Date]]),MAX(0,MIN(fin_dimJF,Horaires356739[[#This Row],[PNP Fin corrigée]])-MAX(deb_dimJF,Horaires356739[[#This Row],[PNP Début corrigé]])),0)+IF(COUNTIF(JF,Horaires356739[[#This Row],[Date]]+1),MAX(0,Horaires356739[[#This Row],[PNP Fin corrigée]]-(1+deb_dimJF)),0))*24</f>
        <v>0</v>
      </c>
    </row>
    <row r="37" spans="1:19" x14ac:dyDescent="0.35">
      <c r="A37" s="5"/>
      <c r="B37" s="1"/>
      <c r="C37" s="2"/>
      <c r="D37" s="2"/>
      <c r="E37" s="3"/>
      <c r="F37" s="3"/>
      <c r="G37" s="3"/>
      <c r="H37" s="3"/>
      <c r="I37" s="51">
        <f>0.1*(Horaires356739[[#This Row],[Heures de nuit]]+Horaires356739[[#This Row],[heures jour dimanche]]+Horaires356739[[#This Row],[heures jour fériés]])</f>
        <v>0</v>
      </c>
      <c r="J37" s="52">
        <f>(MOD(Horaires356739[[#This Row],[Fin]]-Horaires356739[[#This Row],[début]],1)-MOD(Horaires356739[[#This Row],[PNP Fin]]-Horaires356739[[#This Row],[PNP Début]],1))*24</f>
        <v>0</v>
      </c>
      <c r="K37" s="53">
        <f>IF(Horaires356739[[#This Row],[PNP Début]]=0,0,IF(Horaires356739[[#This Row],[PNP Début]]&lt;Horaires356739[[#This Row],[début]],1,0)+Horaires356739[[#This Row],[PNP Début]])</f>
        <v>0</v>
      </c>
      <c r="L37" s="54">
        <f>IF(Horaires356739[[#This Row],[PNP Fin]]=0,0,IF(Horaires356739[[#This Row],[PNP Fin]]&lt;Horaires356739[[#This Row],[début]],1,0)+Horaires356739[[#This Row],[PNP Fin]])</f>
        <v>0</v>
      </c>
      <c r="M37" s="54">
        <f>IF(Horaires356739[[#This Row],[Fin]]&lt;Horaires356739[[#This Row],[début]],1,0)+Horaires356739[[#This Row],[Fin]]</f>
        <v>0</v>
      </c>
      <c r="N37" s="35">
        <f>IF(Horaires356739[[#This Row],[Fin]]&lt;Horaires356739[[#This Row],[début]],MAX(0,MIN(Horaires356739[[#This Row],[Fin corrigée si nuit]],fin_nuit)-MAX(Horaires356739[[#This Row],[début]],deb_nuit))*24,(MAX(deb_nuit,Horaires356739[[#This Row],[Fin]])-MAX(deb_nuit,Horaires356739[[#This Row],[début]])+MAX(MIN(fin_nuit-1,Horaires356739[[#This Row],[Fin]])-MIN(fin_nuit-1,Horaires356739[[#This Row],[début]]),0))*24)</f>
        <v>0</v>
      </c>
      <c r="O37" s="55">
        <f>(MAX(0,MIN(Horaires356739[[#This Row],[Fin corrigée si nuit]],fin_nuit)-MAX(Horaires356739[[#This Row],[début]],deb_nuit))-IF(Horaires356739[[#This Row],[PNP Début]]=0,0,MIN(Horaires356739[[#This Row],[PNP Fin corrigée]],fin_nuit)-MAX(Horaires356739[[#This Row],[PNP Début corrigé]],deb_nuit)))*24</f>
        <v>0</v>
      </c>
      <c r="P37" s="55">
        <f>(IF(WEEKDAY(Horaires356739[[#This Row],[Date]],2)=7,MAX(0,MIN(fin_dimJF,Horaires356739[[#This Row],[Fin corrigée si nuit]])-MAX(deb_dimJF,Horaires356739[[#This Row],[début]])),0)+IF(WEEKDAY(Horaires356739[[#This Row],[Date]],2)=6,MAX(0,Horaires356739[[#This Row],[Fin corrigée si nuit]]-(1+deb_dimJF)),0))*24</f>
        <v>0</v>
      </c>
      <c r="Q37" s="55">
        <f>(IF(WEEKDAY(Horaires356739[[#This Row],[Date]],2)=7,MAX(0,MIN(fin_dimJF,Horaires356739[[#This Row],[Fin corrigée si nuit]])-MAX(deb_dimJF,Horaires356739[[#This Row],[début]])),0)+IF(WEEKDAY(Horaires356739[[#This Row],[Date]],2)=6,MAX(0,Horaires356739[[#This Row],[Fin corrigée si nuit]]-(1+deb_dimJF)),0))*24-
(IF(WEEKDAY(Horaires356739[[#This Row],[Date]],2)=7,MAX(0,MIN(fin_dimJF,Horaires356739[[#This Row],[PNP Fin corrigée]])-MAX(deb_dimJF,Horaires356739[[#This Row],[PNP Début corrigé]])),0)+IF(WEEKDAY(Horaires356739[[#This Row],[Date]],2)=6,MAX(0,Horaires356739[[#This Row],[PNP Fin corrigée]]-(1+deb_dimJF)),0))*24</f>
        <v>0</v>
      </c>
      <c r="R37" s="55">
        <f>(IF(COUNTIF(JF,Horaires356739[[#This Row],[Date]]),MAX(0,MIN(fin_dimJF,Horaires356739[[#This Row],[Fin corrigée si nuit]])-MAX(deb_dimJF,Horaires356739[[#This Row],[début]])),0)+IF(COUNTIF(JF,Horaires356739[[#This Row],[Date]]+1),MAX(0,Horaires356739[[#This Row],[Fin corrigée si nuit]]-(1+deb_dimJF)),0))*24</f>
        <v>0</v>
      </c>
      <c r="S37" s="55">
        <f>(IF(COUNTIF(JF,Horaires356739[[#This Row],[Date]]),MAX(0,MIN(fin_dimJF,Horaires356739[[#This Row],[Fin corrigée si nuit]])-MAX(deb_dimJF,Horaires356739[[#This Row],[début]])),0)+IF(COUNTIF(JF,Horaires356739[[#This Row],[Date]]+1),MAX(0,Horaires356739[[#This Row],[Fin corrigée si nuit]]-(1+deb_dimJF)),0))*24-
(IF(COUNTIF(JF,Horaires356739[[#This Row],[Date]]),MAX(0,MIN(fin_dimJF,Horaires356739[[#This Row],[PNP Fin corrigée]])-MAX(deb_dimJF,Horaires356739[[#This Row],[PNP Début corrigé]])),0)+IF(COUNTIF(JF,Horaires356739[[#This Row],[Date]]+1),MAX(0,Horaires356739[[#This Row],[PNP Fin corrigée]]-(1+deb_dimJF)),0))*24</f>
        <v>0</v>
      </c>
    </row>
    <row r="38" spans="1:19" x14ac:dyDescent="0.35">
      <c r="A38" s="5"/>
      <c r="B38" s="1"/>
      <c r="C38" s="2"/>
      <c r="D38" s="2"/>
      <c r="E38" s="3"/>
      <c r="F38" s="3"/>
      <c r="G38" s="3"/>
      <c r="H38" s="3"/>
      <c r="I38" s="51">
        <f>0.1*(Horaires356739[[#This Row],[Heures de nuit]]+Horaires356739[[#This Row],[heures jour dimanche]]+Horaires356739[[#This Row],[heures jour fériés]])</f>
        <v>0</v>
      </c>
      <c r="J38" s="52">
        <f>(MOD(Horaires356739[[#This Row],[Fin]]-Horaires356739[[#This Row],[début]],1)-MOD(Horaires356739[[#This Row],[PNP Fin]]-Horaires356739[[#This Row],[PNP Début]],1))*24</f>
        <v>0</v>
      </c>
      <c r="K38" s="53">
        <f>IF(Horaires356739[[#This Row],[PNP Début]]=0,0,IF(Horaires356739[[#This Row],[PNP Début]]&lt;Horaires356739[[#This Row],[début]],1,0)+Horaires356739[[#This Row],[PNP Début]])</f>
        <v>0</v>
      </c>
      <c r="L38" s="54">
        <f>IF(Horaires356739[[#This Row],[PNP Fin]]=0,0,IF(Horaires356739[[#This Row],[PNP Fin]]&lt;Horaires356739[[#This Row],[début]],1,0)+Horaires356739[[#This Row],[PNP Fin]])</f>
        <v>0</v>
      </c>
      <c r="M38" s="54">
        <f>IF(Horaires356739[[#This Row],[Fin]]&lt;Horaires356739[[#This Row],[début]],1,0)+Horaires356739[[#This Row],[Fin]]</f>
        <v>0</v>
      </c>
      <c r="N38" s="35">
        <f>IF(Horaires356739[[#This Row],[Fin]]&lt;Horaires356739[[#This Row],[début]],MAX(0,MIN(Horaires356739[[#This Row],[Fin corrigée si nuit]],fin_nuit)-MAX(Horaires356739[[#This Row],[début]],deb_nuit))*24,(MAX(deb_nuit,Horaires356739[[#This Row],[Fin]])-MAX(deb_nuit,Horaires356739[[#This Row],[début]])+MAX(MIN(fin_nuit-1,Horaires356739[[#This Row],[Fin]])-MIN(fin_nuit-1,Horaires356739[[#This Row],[début]]),0))*24)</f>
        <v>0</v>
      </c>
      <c r="O38" s="55">
        <f>(MAX(0,MIN(Horaires356739[[#This Row],[Fin corrigée si nuit]],fin_nuit)-MAX(Horaires356739[[#This Row],[début]],deb_nuit))-IF(Horaires356739[[#This Row],[PNP Début]]=0,0,MIN(Horaires356739[[#This Row],[PNP Fin corrigée]],fin_nuit)-MAX(Horaires356739[[#This Row],[PNP Début corrigé]],deb_nuit)))*24</f>
        <v>0</v>
      </c>
      <c r="P38" s="55">
        <f>(IF(WEEKDAY(Horaires356739[[#This Row],[Date]],2)=7,MAX(0,MIN(fin_dimJF,Horaires356739[[#This Row],[Fin corrigée si nuit]])-MAX(deb_dimJF,Horaires356739[[#This Row],[début]])),0)+IF(WEEKDAY(Horaires356739[[#This Row],[Date]],2)=6,MAX(0,Horaires356739[[#This Row],[Fin corrigée si nuit]]-(1+deb_dimJF)),0))*24</f>
        <v>0</v>
      </c>
      <c r="Q38" s="55">
        <f>(IF(WEEKDAY(Horaires356739[[#This Row],[Date]],2)=7,MAX(0,MIN(fin_dimJF,Horaires356739[[#This Row],[Fin corrigée si nuit]])-MAX(deb_dimJF,Horaires356739[[#This Row],[début]])),0)+IF(WEEKDAY(Horaires356739[[#This Row],[Date]],2)=6,MAX(0,Horaires356739[[#This Row],[Fin corrigée si nuit]]-(1+deb_dimJF)),0))*24-
(IF(WEEKDAY(Horaires356739[[#This Row],[Date]],2)=7,MAX(0,MIN(fin_dimJF,Horaires356739[[#This Row],[PNP Fin corrigée]])-MAX(deb_dimJF,Horaires356739[[#This Row],[PNP Début corrigé]])),0)+IF(WEEKDAY(Horaires356739[[#This Row],[Date]],2)=6,MAX(0,Horaires356739[[#This Row],[PNP Fin corrigée]]-(1+deb_dimJF)),0))*24</f>
        <v>0</v>
      </c>
      <c r="R38" s="55">
        <f>(IF(COUNTIF(JF,Horaires356739[[#This Row],[Date]]),MAX(0,MIN(fin_dimJF,Horaires356739[[#This Row],[Fin corrigée si nuit]])-MAX(deb_dimJF,Horaires356739[[#This Row],[début]])),0)+IF(COUNTIF(JF,Horaires356739[[#This Row],[Date]]+1),MAX(0,Horaires356739[[#This Row],[Fin corrigée si nuit]]-(1+deb_dimJF)),0))*24</f>
        <v>0</v>
      </c>
      <c r="S38" s="55">
        <f>(IF(COUNTIF(JF,Horaires356739[[#This Row],[Date]]),MAX(0,MIN(fin_dimJF,Horaires356739[[#This Row],[Fin corrigée si nuit]])-MAX(deb_dimJF,Horaires356739[[#This Row],[début]])),0)+IF(COUNTIF(JF,Horaires356739[[#This Row],[Date]]+1),MAX(0,Horaires356739[[#This Row],[Fin corrigée si nuit]]-(1+deb_dimJF)),0))*24-
(IF(COUNTIF(JF,Horaires356739[[#This Row],[Date]]),MAX(0,MIN(fin_dimJF,Horaires356739[[#This Row],[PNP Fin corrigée]])-MAX(deb_dimJF,Horaires356739[[#This Row],[PNP Début corrigé]])),0)+IF(COUNTIF(JF,Horaires356739[[#This Row],[Date]]+1),MAX(0,Horaires356739[[#This Row],[PNP Fin corrigée]]-(1+deb_dimJF)),0))*24</f>
        <v>0</v>
      </c>
    </row>
    <row r="39" spans="1:19" x14ac:dyDescent="0.35">
      <c r="A39" s="5"/>
      <c r="B39" s="1"/>
      <c r="C39" s="2"/>
      <c r="D39" s="2"/>
      <c r="E39" s="3"/>
      <c r="F39" s="3"/>
      <c r="G39" s="3"/>
      <c r="H39" s="3"/>
      <c r="I39" s="51">
        <f>0.1*(Horaires356739[[#This Row],[Heures de nuit]]+Horaires356739[[#This Row],[heures jour dimanche]]+Horaires356739[[#This Row],[heures jour fériés]])</f>
        <v>0</v>
      </c>
      <c r="J39" s="52">
        <f>(MOD(Horaires356739[[#This Row],[Fin]]-Horaires356739[[#This Row],[début]],1)-MOD(Horaires356739[[#This Row],[PNP Fin]]-Horaires356739[[#This Row],[PNP Début]],1))*24</f>
        <v>0</v>
      </c>
      <c r="K39" s="53">
        <f>IF(Horaires356739[[#This Row],[PNP Début]]=0,0,IF(Horaires356739[[#This Row],[PNP Début]]&lt;Horaires356739[[#This Row],[début]],1,0)+Horaires356739[[#This Row],[PNP Début]])</f>
        <v>0</v>
      </c>
      <c r="L39" s="54">
        <f>IF(Horaires356739[[#This Row],[PNP Fin]]=0,0,IF(Horaires356739[[#This Row],[PNP Fin]]&lt;Horaires356739[[#This Row],[début]],1,0)+Horaires356739[[#This Row],[PNP Fin]])</f>
        <v>0</v>
      </c>
      <c r="M39" s="54">
        <f>IF(Horaires356739[[#This Row],[Fin]]&lt;Horaires356739[[#This Row],[début]],1,0)+Horaires356739[[#This Row],[Fin]]</f>
        <v>0</v>
      </c>
      <c r="N39" s="35">
        <f>IF(Horaires356739[[#This Row],[Fin]]&lt;Horaires356739[[#This Row],[début]],MAX(0,MIN(Horaires356739[[#This Row],[Fin corrigée si nuit]],fin_nuit)-MAX(Horaires356739[[#This Row],[début]],deb_nuit))*24,(MAX(deb_nuit,Horaires356739[[#This Row],[Fin]])-MAX(deb_nuit,Horaires356739[[#This Row],[début]])+MAX(MIN(fin_nuit-1,Horaires356739[[#This Row],[Fin]])-MIN(fin_nuit-1,Horaires356739[[#This Row],[début]]),0))*24)</f>
        <v>0</v>
      </c>
      <c r="O39" s="55">
        <f>(MAX(0,MIN(Horaires356739[[#This Row],[Fin corrigée si nuit]],fin_nuit)-MAX(Horaires356739[[#This Row],[début]],deb_nuit))-IF(Horaires356739[[#This Row],[PNP Début]]=0,0,MIN(Horaires356739[[#This Row],[PNP Fin corrigée]],fin_nuit)-MAX(Horaires356739[[#This Row],[PNP Début corrigé]],deb_nuit)))*24</f>
        <v>0</v>
      </c>
      <c r="P39" s="55">
        <f>(IF(WEEKDAY(Horaires356739[[#This Row],[Date]],2)=7,MAX(0,MIN(fin_dimJF,Horaires356739[[#This Row],[Fin corrigée si nuit]])-MAX(deb_dimJF,Horaires356739[[#This Row],[début]])),0)+IF(WEEKDAY(Horaires356739[[#This Row],[Date]],2)=6,MAX(0,Horaires356739[[#This Row],[Fin corrigée si nuit]]-(1+deb_dimJF)),0))*24</f>
        <v>0</v>
      </c>
      <c r="Q39" s="55">
        <f>(IF(WEEKDAY(Horaires356739[[#This Row],[Date]],2)=7,MAX(0,MIN(fin_dimJF,Horaires356739[[#This Row],[Fin corrigée si nuit]])-MAX(deb_dimJF,Horaires356739[[#This Row],[début]])),0)+IF(WEEKDAY(Horaires356739[[#This Row],[Date]],2)=6,MAX(0,Horaires356739[[#This Row],[Fin corrigée si nuit]]-(1+deb_dimJF)),0))*24-
(IF(WEEKDAY(Horaires356739[[#This Row],[Date]],2)=7,MAX(0,MIN(fin_dimJF,Horaires356739[[#This Row],[PNP Fin corrigée]])-MAX(deb_dimJF,Horaires356739[[#This Row],[PNP Début corrigé]])),0)+IF(WEEKDAY(Horaires356739[[#This Row],[Date]],2)=6,MAX(0,Horaires356739[[#This Row],[PNP Fin corrigée]]-(1+deb_dimJF)),0))*24</f>
        <v>0</v>
      </c>
      <c r="R39" s="55">
        <f>(IF(COUNTIF(JF,Horaires356739[[#This Row],[Date]]),MAX(0,MIN(fin_dimJF,Horaires356739[[#This Row],[Fin corrigée si nuit]])-MAX(deb_dimJF,Horaires356739[[#This Row],[début]])),0)+IF(COUNTIF(JF,Horaires356739[[#This Row],[Date]]+1),MAX(0,Horaires356739[[#This Row],[Fin corrigée si nuit]]-(1+deb_dimJF)),0))*24</f>
        <v>0</v>
      </c>
      <c r="S39" s="55">
        <f>(IF(COUNTIF(JF,Horaires356739[[#This Row],[Date]]),MAX(0,MIN(fin_dimJF,Horaires356739[[#This Row],[Fin corrigée si nuit]])-MAX(deb_dimJF,Horaires356739[[#This Row],[début]])),0)+IF(COUNTIF(JF,Horaires356739[[#This Row],[Date]]+1),MAX(0,Horaires356739[[#This Row],[Fin corrigée si nuit]]-(1+deb_dimJF)),0))*24-
(IF(COUNTIF(JF,Horaires356739[[#This Row],[Date]]),MAX(0,MIN(fin_dimJF,Horaires356739[[#This Row],[PNP Fin corrigée]])-MAX(deb_dimJF,Horaires356739[[#This Row],[PNP Début corrigé]])),0)+IF(COUNTIF(JF,Horaires356739[[#This Row],[Date]]+1),MAX(0,Horaires356739[[#This Row],[PNP Fin corrigée]]-(1+deb_dimJF)),0))*24</f>
        <v>0</v>
      </c>
    </row>
    <row r="40" spans="1:19" x14ac:dyDescent="0.35">
      <c r="A40" s="5"/>
      <c r="B40" s="1"/>
      <c r="C40" s="2"/>
      <c r="D40" s="2"/>
      <c r="E40" s="3"/>
      <c r="F40" s="3"/>
      <c r="G40" s="3"/>
      <c r="H40" s="3"/>
      <c r="I40" s="51">
        <f>0.1*(Horaires356739[[#This Row],[Heures de nuit]]+Horaires356739[[#This Row],[heures jour dimanche]]+Horaires356739[[#This Row],[heures jour fériés]])</f>
        <v>0</v>
      </c>
      <c r="J40" s="52">
        <f>(MOD(Horaires356739[[#This Row],[Fin]]-Horaires356739[[#This Row],[début]],1)-MOD(Horaires356739[[#This Row],[PNP Fin]]-Horaires356739[[#This Row],[PNP Début]],1))*24</f>
        <v>0</v>
      </c>
      <c r="K40" s="53">
        <f>IF(Horaires356739[[#This Row],[PNP Début]]=0,0,IF(Horaires356739[[#This Row],[PNP Début]]&lt;Horaires356739[[#This Row],[début]],1,0)+Horaires356739[[#This Row],[PNP Début]])</f>
        <v>0</v>
      </c>
      <c r="L40" s="54">
        <f>IF(Horaires356739[[#This Row],[PNP Fin]]=0,0,IF(Horaires356739[[#This Row],[PNP Fin]]&lt;Horaires356739[[#This Row],[début]],1,0)+Horaires356739[[#This Row],[PNP Fin]])</f>
        <v>0</v>
      </c>
      <c r="M40" s="54">
        <f>IF(Horaires356739[[#This Row],[Fin]]&lt;Horaires356739[[#This Row],[début]],1,0)+Horaires356739[[#This Row],[Fin]]</f>
        <v>0</v>
      </c>
      <c r="N40" s="35">
        <f>IF(Horaires356739[[#This Row],[Fin]]&lt;Horaires356739[[#This Row],[début]],MAX(0,MIN(Horaires356739[[#This Row],[Fin corrigée si nuit]],fin_nuit)-MAX(Horaires356739[[#This Row],[début]],deb_nuit))*24,(MAX(deb_nuit,Horaires356739[[#This Row],[Fin]])-MAX(deb_nuit,Horaires356739[[#This Row],[début]])+MAX(MIN(fin_nuit-1,Horaires356739[[#This Row],[Fin]])-MIN(fin_nuit-1,Horaires356739[[#This Row],[début]]),0))*24)</f>
        <v>0</v>
      </c>
      <c r="O40" s="55">
        <f>(MAX(0,MIN(Horaires356739[[#This Row],[Fin corrigée si nuit]],fin_nuit)-MAX(Horaires356739[[#This Row],[début]],deb_nuit))-IF(Horaires356739[[#This Row],[PNP Début]]=0,0,MIN(Horaires356739[[#This Row],[PNP Fin corrigée]],fin_nuit)-MAX(Horaires356739[[#This Row],[PNP Début corrigé]],deb_nuit)))*24</f>
        <v>0</v>
      </c>
      <c r="P40" s="55">
        <f>(IF(WEEKDAY(Horaires356739[[#This Row],[Date]],2)=7,MAX(0,MIN(fin_dimJF,Horaires356739[[#This Row],[Fin corrigée si nuit]])-MAX(deb_dimJF,Horaires356739[[#This Row],[début]])),0)+IF(WEEKDAY(Horaires356739[[#This Row],[Date]],2)=6,MAX(0,Horaires356739[[#This Row],[Fin corrigée si nuit]]-(1+deb_dimJF)),0))*24</f>
        <v>0</v>
      </c>
      <c r="Q40" s="55">
        <f>(IF(WEEKDAY(Horaires356739[[#This Row],[Date]],2)=7,MAX(0,MIN(fin_dimJF,Horaires356739[[#This Row],[Fin corrigée si nuit]])-MAX(deb_dimJF,Horaires356739[[#This Row],[début]])),0)+IF(WEEKDAY(Horaires356739[[#This Row],[Date]],2)=6,MAX(0,Horaires356739[[#This Row],[Fin corrigée si nuit]]-(1+deb_dimJF)),0))*24-
(IF(WEEKDAY(Horaires356739[[#This Row],[Date]],2)=7,MAX(0,MIN(fin_dimJF,Horaires356739[[#This Row],[PNP Fin corrigée]])-MAX(deb_dimJF,Horaires356739[[#This Row],[PNP Début corrigé]])),0)+IF(WEEKDAY(Horaires356739[[#This Row],[Date]],2)=6,MAX(0,Horaires356739[[#This Row],[PNP Fin corrigée]]-(1+deb_dimJF)),0))*24</f>
        <v>0</v>
      </c>
      <c r="R40" s="55">
        <f>(IF(COUNTIF(JF,Horaires356739[[#This Row],[Date]]),MAX(0,MIN(fin_dimJF,Horaires356739[[#This Row],[Fin corrigée si nuit]])-MAX(deb_dimJF,Horaires356739[[#This Row],[début]])),0)+IF(COUNTIF(JF,Horaires356739[[#This Row],[Date]]+1),MAX(0,Horaires356739[[#This Row],[Fin corrigée si nuit]]-(1+deb_dimJF)),0))*24</f>
        <v>0</v>
      </c>
      <c r="S40" s="55">
        <f>(IF(COUNTIF(JF,Horaires356739[[#This Row],[Date]]),MAX(0,MIN(fin_dimJF,Horaires356739[[#This Row],[Fin corrigée si nuit]])-MAX(deb_dimJF,Horaires356739[[#This Row],[début]])),0)+IF(COUNTIF(JF,Horaires356739[[#This Row],[Date]]+1),MAX(0,Horaires356739[[#This Row],[Fin corrigée si nuit]]-(1+deb_dimJF)),0))*24-
(IF(COUNTIF(JF,Horaires356739[[#This Row],[Date]]),MAX(0,MIN(fin_dimJF,Horaires356739[[#This Row],[PNP Fin corrigée]])-MAX(deb_dimJF,Horaires356739[[#This Row],[PNP Début corrigé]])),0)+IF(COUNTIF(JF,Horaires356739[[#This Row],[Date]]+1),MAX(0,Horaires356739[[#This Row],[PNP Fin corrigée]]-(1+deb_dimJF)),0))*24</f>
        <v>0</v>
      </c>
    </row>
    <row r="41" spans="1:19" x14ac:dyDescent="0.35">
      <c r="A41" s="5"/>
      <c r="B41" s="1"/>
      <c r="C41" s="2"/>
      <c r="D41" s="2"/>
      <c r="E41" s="3"/>
      <c r="F41" s="3"/>
      <c r="G41" s="3"/>
      <c r="H41" s="3"/>
      <c r="I41" s="51">
        <f>0.1*(Horaires356739[[#This Row],[Heures de nuit]]+Horaires356739[[#This Row],[heures jour dimanche]]+Horaires356739[[#This Row],[heures jour fériés]])</f>
        <v>0</v>
      </c>
      <c r="J41" s="52">
        <f>(MOD(Horaires356739[[#This Row],[Fin]]-Horaires356739[[#This Row],[début]],1)-MOD(Horaires356739[[#This Row],[PNP Fin]]-Horaires356739[[#This Row],[PNP Début]],1))*24</f>
        <v>0</v>
      </c>
      <c r="K41" s="53">
        <f>IF(Horaires356739[[#This Row],[PNP Début]]=0,0,IF(Horaires356739[[#This Row],[PNP Début]]&lt;Horaires356739[[#This Row],[début]],1,0)+Horaires356739[[#This Row],[PNP Début]])</f>
        <v>0</v>
      </c>
      <c r="L41" s="54">
        <f>IF(Horaires356739[[#This Row],[PNP Fin]]=0,0,IF(Horaires356739[[#This Row],[PNP Fin]]&lt;Horaires356739[[#This Row],[début]],1,0)+Horaires356739[[#This Row],[PNP Fin]])</f>
        <v>0</v>
      </c>
      <c r="M41" s="54">
        <f>IF(Horaires356739[[#This Row],[Fin]]&lt;Horaires356739[[#This Row],[début]],1,0)+Horaires356739[[#This Row],[Fin]]</f>
        <v>0</v>
      </c>
      <c r="N41" s="35">
        <f>IF(Horaires356739[[#This Row],[Fin]]&lt;Horaires356739[[#This Row],[début]],MAX(0,MIN(Horaires356739[[#This Row],[Fin corrigée si nuit]],fin_nuit)-MAX(Horaires356739[[#This Row],[début]],deb_nuit))*24,(MAX(deb_nuit,Horaires356739[[#This Row],[Fin]])-MAX(deb_nuit,Horaires356739[[#This Row],[début]])+MAX(MIN(fin_nuit-1,Horaires356739[[#This Row],[Fin]])-MIN(fin_nuit-1,Horaires356739[[#This Row],[début]]),0))*24)</f>
        <v>0</v>
      </c>
      <c r="O41" s="55">
        <f>(MAX(0,MIN(Horaires356739[[#This Row],[Fin corrigée si nuit]],fin_nuit)-MAX(Horaires356739[[#This Row],[début]],deb_nuit))-IF(Horaires356739[[#This Row],[PNP Début]]=0,0,MIN(Horaires356739[[#This Row],[PNP Fin corrigée]],fin_nuit)-MAX(Horaires356739[[#This Row],[PNP Début corrigé]],deb_nuit)))*24</f>
        <v>0</v>
      </c>
      <c r="P41" s="55">
        <f>(IF(WEEKDAY(Horaires356739[[#This Row],[Date]],2)=7,MAX(0,MIN(fin_dimJF,Horaires356739[[#This Row],[Fin corrigée si nuit]])-MAX(deb_dimJF,Horaires356739[[#This Row],[début]])),0)+IF(WEEKDAY(Horaires356739[[#This Row],[Date]],2)=6,MAX(0,Horaires356739[[#This Row],[Fin corrigée si nuit]]-(1+deb_dimJF)),0))*24</f>
        <v>0</v>
      </c>
      <c r="Q41" s="55">
        <f>(IF(WEEKDAY(Horaires356739[[#This Row],[Date]],2)=7,MAX(0,MIN(fin_dimJF,Horaires356739[[#This Row],[Fin corrigée si nuit]])-MAX(deb_dimJF,Horaires356739[[#This Row],[début]])),0)+IF(WEEKDAY(Horaires356739[[#This Row],[Date]],2)=6,MAX(0,Horaires356739[[#This Row],[Fin corrigée si nuit]]-(1+deb_dimJF)),0))*24-
(IF(WEEKDAY(Horaires356739[[#This Row],[Date]],2)=7,MAX(0,MIN(fin_dimJF,Horaires356739[[#This Row],[PNP Fin corrigée]])-MAX(deb_dimJF,Horaires356739[[#This Row],[PNP Début corrigé]])),0)+IF(WEEKDAY(Horaires356739[[#This Row],[Date]],2)=6,MAX(0,Horaires356739[[#This Row],[PNP Fin corrigée]]-(1+deb_dimJF)),0))*24</f>
        <v>0</v>
      </c>
      <c r="R41" s="55">
        <f>(IF(COUNTIF(JF,Horaires356739[[#This Row],[Date]]),MAX(0,MIN(fin_dimJF,Horaires356739[[#This Row],[Fin corrigée si nuit]])-MAX(deb_dimJF,Horaires356739[[#This Row],[début]])),0)+IF(COUNTIF(JF,Horaires356739[[#This Row],[Date]]+1),MAX(0,Horaires356739[[#This Row],[Fin corrigée si nuit]]-(1+deb_dimJF)),0))*24</f>
        <v>0</v>
      </c>
      <c r="S41" s="55">
        <f>(IF(COUNTIF(JF,Horaires356739[[#This Row],[Date]]),MAX(0,MIN(fin_dimJF,Horaires356739[[#This Row],[Fin corrigée si nuit]])-MAX(deb_dimJF,Horaires356739[[#This Row],[début]])),0)+IF(COUNTIF(JF,Horaires356739[[#This Row],[Date]]+1),MAX(0,Horaires356739[[#This Row],[Fin corrigée si nuit]]-(1+deb_dimJF)),0))*24-
(IF(COUNTIF(JF,Horaires356739[[#This Row],[Date]]),MAX(0,MIN(fin_dimJF,Horaires356739[[#This Row],[PNP Fin corrigée]])-MAX(deb_dimJF,Horaires356739[[#This Row],[PNP Début corrigé]])),0)+IF(COUNTIF(JF,Horaires356739[[#This Row],[Date]]+1),MAX(0,Horaires356739[[#This Row],[PNP Fin corrigée]]-(1+deb_dimJF)),0))*24</f>
        <v>0</v>
      </c>
    </row>
    <row r="42" spans="1:19" x14ac:dyDescent="0.35">
      <c r="A42" s="5"/>
      <c r="B42" s="1"/>
      <c r="C42" s="2"/>
      <c r="D42" s="2"/>
      <c r="E42" s="3"/>
      <c r="F42" s="3"/>
      <c r="G42" s="3"/>
      <c r="H42" s="3"/>
      <c r="I42" s="51">
        <f>0.1*(Horaires356739[[#This Row],[Heures de nuit]]+Horaires356739[[#This Row],[heures jour dimanche]]+Horaires356739[[#This Row],[heures jour fériés]])</f>
        <v>0</v>
      </c>
      <c r="J42" s="52">
        <f>(MOD(Horaires356739[[#This Row],[Fin]]-Horaires356739[[#This Row],[début]],1)-MOD(Horaires356739[[#This Row],[PNP Fin]]-Horaires356739[[#This Row],[PNP Début]],1))*24</f>
        <v>0</v>
      </c>
      <c r="K42" s="53">
        <f>IF(Horaires356739[[#This Row],[PNP Début]]=0,0,IF(Horaires356739[[#This Row],[PNP Début]]&lt;Horaires356739[[#This Row],[début]],1,0)+Horaires356739[[#This Row],[PNP Début]])</f>
        <v>0</v>
      </c>
      <c r="L42" s="54">
        <f>IF(Horaires356739[[#This Row],[PNP Fin]]=0,0,IF(Horaires356739[[#This Row],[PNP Fin]]&lt;Horaires356739[[#This Row],[début]],1,0)+Horaires356739[[#This Row],[PNP Fin]])</f>
        <v>0</v>
      </c>
      <c r="M42" s="54">
        <f>IF(Horaires356739[[#This Row],[Fin]]&lt;Horaires356739[[#This Row],[début]],1,0)+Horaires356739[[#This Row],[Fin]]</f>
        <v>0</v>
      </c>
      <c r="N42" s="35">
        <f>IF(Horaires356739[[#This Row],[Fin]]&lt;Horaires356739[[#This Row],[début]],MAX(0,MIN(Horaires356739[[#This Row],[Fin corrigée si nuit]],fin_nuit)-MAX(Horaires356739[[#This Row],[début]],deb_nuit))*24,(MAX(deb_nuit,Horaires356739[[#This Row],[Fin]])-MAX(deb_nuit,Horaires356739[[#This Row],[début]])+MAX(MIN(fin_nuit-1,Horaires356739[[#This Row],[Fin]])-MIN(fin_nuit-1,Horaires356739[[#This Row],[début]]),0))*24)</f>
        <v>0</v>
      </c>
      <c r="O42" s="55">
        <f>(MAX(0,MIN(Horaires356739[[#This Row],[Fin corrigée si nuit]],fin_nuit)-MAX(Horaires356739[[#This Row],[début]],deb_nuit))-IF(Horaires356739[[#This Row],[PNP Début]]=0,0,MIN(Horaires356739[[#This Row],[PNP Fin corrigée]],fin_nuit)-MAX(Horaires356739[[#This Row],[PNP Début corrigé]],deb_nuit)))*24</f>
        <v>0</v>
      </c>
      <c r="P42" s="55">
        <f>(IF(WEEKDAY(Horaires356739[[#This Row],[Date]],2)=7,MAX(0,MIN(fin_dimJF,Horaires356739[[#This Row],[Fin corrigée si nuit]])-MAX(deb_dimJF,Horaires356739[[#This Row],[début]])),0)+IF(WEEKDAY(Horaires356739[[#This Row],[Date]],2)=6,MAX(0,Horaires356739[[#This Row],[Fin corrigée si nuit]]-(1+deb_dimJF)),0))*24</f>
        <v>0</v>
      </c>
      <c r="Q42" s="55">
        <f>(IF(WEEKDAY(Horaires356739[[#This Row],[Date]],2)=7,MAX(0,MIN(fin_dimJF,Horaires356739[[#This Row],[Fin corrigée si nuit]])-MAX(deb_dimJF,Horaires356739[[#This Row],[début]])),0)+IF(WEEKDAY(Horaires356739[[#This Row],[Date]],2)=6,MAX(0,Horaires356739[[#This Row],[Fin corrigée si nuit]]-(1+deb_dimJF)),0))*24-
(IF(WEEKDAY(Horaires356739[[#This Row],[Date]],2)=7,MAX(0,MIN(fin_dimJF,Horaires356739[[#This Row],[PNP Fin corrigée]])-MAX(deb_dimJF,Horaires356739[[#This Row],[PNP Début corrigé]])),0)+IF(WEEKDAY(Horaires356739[[#This Row],[Date]],2)=6,MAX(0,Horaires356739[[#This Row],[PNP Fin corrigée]]-(1+deb_dimJF)),0))*24</f>
        <v>0</v>
      </c>
      <c r="R42" s="55">
        <f>(IF(COUNTIF(JF,Horaires356739[[#This Row],[Date]]),MAX(0,MIN(fin_dimJF,Horaires356739[[#This Row],[Fin corrigée si nuit]])-MAX(deb_dimJF,Horaires356739[[#This Row],[début]])),0)+IF(COUNTIF(JF,Horaires356739[[#This Row],[Date]]+1),MAX(0,Horaires356739[[#This Row],[Fin corrigée si nuit]]-(1+deb_dimJF)),0))*24</f>
        <v>0</v>
      </c>
      <c r="S42" s="55">
        <f>(IF(COUNTIF(JF,Horaires356739[[#This Row],[Date]]),MAX(0,MIN(fin_dimJF,Horaires356739[[#This Row],[Fin corrigée si nuit]])-MAX(deb_dimJF,Horaires356739[[#This Row],[début]])),0)+IF(COUNTIF(JF,Horaires356739[[#This Row],[Date]]+1),MAX(0,Horaires356739[[#This Row],[Fin corrigée si nuit]]-(1+deb_dimJF)),0))*24-
(IF(COUNTIF(JF,Horaires356739[[#This Row],[Date]]),MAX(0,MIN(fin_dimJF,Horaires356739[[#This Row],[PNP Fin corrigée]])-MAX(deb_dimJF,Horaires356739[[#This Row],[PNP Début corrigé]])),0)+IF(COUNTIF(JF,Horaires356739[[#This Row],[Date]]+1),MAX(0,Horaires356739[[#This Row],[PNP Fin corrigée]]-(1+deb_dimJF)),0))*24</f>
        <v>0</v>
      </c>
    </row>
    <row r="43" spans="1:19" x14ac:dyDescent="0.35">
      <c r="A43" s="5"/>
      <c r="B43" s="1"/>
      <c r="C43" s="2"/>
      <c r="D43" s="2"/>
      <c r="E43" s="3"/>
      <c r="F43" s="3"/>
      <c r="G43" s="3"/>
      <c r="H43" s="3"/>
      <c r="I43" s="51">
        <f>0.1*(Horaires356739[[#This Row],[Heures de nuit]]+Horaires356739[[#This Row],[heures jour dimanche]]+Horaires356739[[#This Row],[heures jour fériés]])</f>
        <v>0</v>
      </c>
      <c r="J43" s="52">
        <f>(MOD(Horaires356739[[#This Row],[Fin]]-Horaires356739[[#This Row],[début]],1)-MOD(Horaires356739[[#This Row],[PNP Fin]]-Horaires356739[[#This Row],[PNP Début]],1))*24</f>
        <v>0</v>
      </c>
      <c r="K43" s="53">
        <f>IF(Horaires356739[[#This Row],[PNP Début]]=0,0,IF(Horaires356739[[#This Row],[PNP Début]]&lt;Horaires356739[[#This Row],[début]],1,0)+Horaires356739[[#This Row],[PNP Début]])</f>
        <v>0</v>
      </c>
      <c r="L43" s="54">
        <f>IF(Horaires356739[[#This Row],[PNP Fin]]=0,0,IF(Horaires356739[[#This Row],[PNP Fin]]&lt;Horaires356739[[#This Row],[début]],1,0)+Horaires356739[[#This Row],[PNP Fin]])</f>
        <v>0</v>
      </c>
      <c r="M43" s="54">
        <f>IF(Horaires356739[[#This Row],[Fin]]&lt;Horaires356739[[#This Row],[début]],1,0)+Horaires356739[[#This Row],[Fin]]</f>
        <v>0</v>
      </c>
      <c r="N43" s="35">
        <f>IF(Horaires356739[[#This Row],[Fin]]&lt;Horaires356739[[#This Row],[début]],MAX(0,MIN(Horaires356739[[#This Row],[Fin corrigée si nuit]],fin_nuit)-MAX(Horaires356739[[#This Row],[début]],deb_nuit))*24,(MAX(deb_nuit,Horaires356739[[#This Row],[Fin]])-MAX(deb_nuit,Horaires356739[[#This Row],[début]])+MAX(MIN(fin_nuit-1,Horaires356739[[#This Row],[Fin]])-MIN(fin_nuit-1,Horaires356739[[#This Row],[début]]),0))*24)</f>
        <v>0</v>
      </c>
      <c r="O43" s="55">
        <f>(MAX(0,MIN(Horaires356739[[#This Row],[Fin corrigée si nuit]],fin_nuit)-MAX(Horaires356739[[#This Row],[début]],deb_nuit))-IF(Horaires356739[[#This Row],[PNP Début]]=0,0,MIN(Horaires356739[[#This Row],[PNP Fin corrigée]],fin_nuit)-MAX(Horaires356739[[#This Row],[PNP Début corrigé]],deb_nuit)))*24</f>
        <v>0</v>
      </c>
      <c r="P43" s="55">
        <f>(IF(WEEKDAY(Horaires356739[[#This Row],[Date]],2)=7,MAX(0,MIN(fin_dimJF,Horaires356739[[#This Row],[Fin corrigée si nuit]])-MAX(deb_dimJF,Horaires356739[[#This Row],[début]])),0)+IF(WEEKDAY(Horaires356739[[#This Row],[Date]],2)=6,MAX(0,Horaires356739[[#This Row],[Fin corrigée si nuit]]-(1+deb_dimJF)),0))*24</f>
        <v>0</v>
      </c>
      <c r="Q43" s="55">
        <f>(IF(WEEKDAY(Horaires356739[[#This Row],[Date]],2)=7,MAX(0,MIN(fin_dimJF,Horaires356739[[#This Row],[Fin corrigée si nuit]])-MAX(deb_dimJF,Horaires356739[[#This Row],[début]])),0)+IF(WEEKDAY(Horaires356739[[#This Row],[Date]],2)=6,MAX(0,Horaires356739[[#This Row],[Fin corrigée si nuit]]-(1+deb_dimJF)),0))*24-
(IF(WEEKDAY(Horaires356739[[#This Row],[Date]],2)=7,MAX(0,MIN(fin_dimJF,Horaires356739[[#This Row],[PNP Fin corrigée]])-MAX(deb_dimJF,Horaires356739[[#This Row],[PNP Début corrigé]])),0)+IF(WEEKDAY(Horaires356739[[#This Row],[Date]],2)=6,MAX(0,Horaires356739[[#This Row],[PNP Fin corrigée]]-(1+deb_dimJF)),0))*24</f>
        <v>0</v>
      </c>
      <c r="R43" s="55">
        <f>(IF(COUNTIF(JF,Horaires356739[[#This Row],[Date]]),MAX(0,MIN(fin_dimJF,Horaires356739[[#This Row],[Fin corrigée si nuit]])-MAX(deb_dimJF,Horaires356739[[#This Row],[début]])),0)+IF(COUNTIF(JF,Horaires356739[[#This Row],[Date]]+1),MAX(0,Horaires356739[[#This Row],[Fin corrigée si nuit]]-(1+deb_dimJF)),0))*24</f>
        <v>0</v>
      </c>
      <c r="S43" s="55">
        <f>(IF(COUNTIF(JF,Horaires356739[[#This Row],[Date]]),MAX(0,MIN(fin_dimJF,Horaires356739[[#This Row],[Fin corrigée si nuit]])-MAX(deb_dimJF,Horaires356739[[#This Row],[début]])),0)+IF(COUNTIF(JF,Horaires356739[[#This Row],[Date]]+1),MAX(0,Horaires356739[[#This Row],[Fin corrigée si nuit]]-(1+deb_dimJF)),0))*24-
(IF(COUNTIF(JF,Horaires356739[[#This Row],[Date]]),MAX(0,MIN(fin_dimJF,Horaires356739[[#This Row],[PNP Fin corrigée]])-MAX(deb_dimJF,Horaires356739[[#This Row],[PNP Début corrigé]])),0)+IF(COUNTIF(JF,Horaires356739[[#This Row],[Date]]+1),MAX(0,Horaires356739[[#This Row],[PNP Fin corrigée]]-(1+deb_dimJF)),0))*24</f>
        <v>0</v>
      </c>
    </row>
    <row r="44" spans="1:19" x14ac:dyDescent="0.35">
      <c r="A44" s="5"/>
      <c r="B44" s="1"/>
      <c r="C44" s="2"/>
      <c r="D44" s="2"/>
      <c r="E44" s="3"/>
      <c r="F44" s="3"/>
      <c r="G44" s="3"/>
      <c r="H44" s="3"/>
      <c r="I44" s="51">
        <f>0.1*(Horaires356739[[#This Row],[Heures de nuit]]+Horaires356739[[#This Row],[heures jour dimanche]]+Horaires356739[[#This Row],[heures jour fériés]])</f>
        <v>0</v>
      </c>
      <c r="J44" s="52">
        <f>(MOD(Horaires356739[[#This Row],[Fin]]-Horaires356739[[#This Row],[début]],1)-MOD(Horaires356739[[#This Row],[PNP Fin]]-Horaires356739[[#This Row],[PNP Début]],1))*24</f>
        <v>0</v>
      </c>
      <c r="K44" s="53">
        <f>IF(Horaires356739[[#This Row],[PNP Début]]=0,0,IF(Horaires356739[[#This Row],[PNP Début]]&lt;Horaires356739[[#This Row],[début]],1,0)+Horaires356739[[#This Row],[PNP Début]])</f>
        <v>0</v>
      </c>
      <c r="L44" s="54">
        <f>IF(Horaires356739[[#This Row],[PNP Fin]]=0,0,IF(Horaires356739[[#This Row],[PNP Fin]]&lt;Horaires356739[[#This Row],[début]],1,0)+Horaires356739[[#This Row],[PNP Fin]])</f>
        <v>0</v>
      </c>
      <c r="M44" s="54">
        <f>IF(Horaires356739[[#This Row],[Fin]]&lt;Horaires356739[[#This Row],[début]],1,0)+Horaires356739[[#This Row],[Fin]]</f>
        <v>0</v>
      </c>
      <c r="N44" s="35">
        <f>IF(Horaires356739[[#This Row],[Fin]]&lt;Horaires356739[[#This Row],[début]],MAX(0,MIN(Horaires356739[[#This Row],[Fin corrigée si nuit]],fin_nuit)-MAX(Horaires356739[[#This Row],[début]],deb_nuit))*24,(MAX(deb_nuit,Horaires356739[[#This Row],[Fin]])-MAX(deb_nuit,Horaires356739[[#This Row],[début]])+MAX(MIN(fin_nuit-1,Horaires356739[[#This Row],[Fin]])-MIN(fin_nuit-1,Horaires356739[[#This Row],[début]]),0))*24)</f>
        <v>0</v>
      </c>
      <c r="O44" s="55">
        <f>(MAX(0,MIN(Horaires356739[[#This Row],[Fin corrigée si nuit]],fin_nuit)-MAX(Horaires356739[[#This Row],[début]],deb_nuit))-IF(Horaires356739[[#This Row],[PNP Début]]=0,0,MIN(Horaires356739[[#This Row],[PNP Fin corrigée]],fin_nuit)-MAX(Horaires356739[[#This Row],[PNP Début corrigé]],deb_nuit)))*24</f>
        <v>0</v>
      </c>
      <c r="P44" s="55">
        <f>(IF(WEEKDAY(Horaires356739[[#This Row],[Date]],2)=7,MAX(0,MIN(fin_dimJF,Horaires356739[[#This Row],[Fin corrigée si nuit]])-MAX(deb_dimJF,Horaires356739[[#This Row],[début]])),0)+IF(WEEKDAY(Horaires356739[[#This Row],[Date]],2)=6,MAX(0,Horaires356739[[#This Row],[Fin corrigée si nuit]]-(1+deb_dimJF)),0))*24</f>
        <v>0</v>
      </c>
      <c r="Q44" s="55">
        <f>(IF(WEEKDAY(Horaires356739[[#This Row],[Date]],2)=7,MAX(0,MIN(fin_dimJF,Horaires356739[[#This Row],[Fin corrigée si nuit]])-MAX(deb_dimJF,Horaires356739[[#This Row],[début]])),0)+IF(WEEKDAY(Horaires356739[[#This Row],[Date]],2)=6,MAX(0,Horaires356739[[#This Row],[Fin corrigée si nuit]]-(1+deb_dimJF)),0))*24-
(IF(WEEKDAY(Horaires356739[[#This Row],[Date]],2)=7,MAX(0,MIN(fin_dimJF,Horaires356739[[#This Row],[PNP Fin corrigée]])-MAX(deb_dimJF,Horaires356739[[#This Row],[PNP Début corrigé]])),0)+IF(WEEKDAY(Horaires356739[[#This Row],[Date]],2)=6,MAX(0,Horaires356739[[#This Row],[PNP Fin corrigée]]-(1+deb_dimJF)),0))*24</f>
        <v>0</v>
      </c>
      <c r="R44" s="55">
        <f>(IF(COUNTIF(JF,Horaires356739[[#This Row],[Date]]),MAX(0,MIN(fin_dimJF,Horaires356739[[#This Row],[Fin corrigée si nuit]])-MAX(deb_dimJF,Horaires356739[[#This Row],[début]])),0)+IF(COUNTIF(JF,Horaires356739[[#This Row],[Date]]+1),MAX(0,Horaires356739[[#This Row],[Fin corrigée si nuit]]-(1+deb_dimJF)),0))*24</f>
        <v>0</v>
      </c>
      <c r="S44" s="55">
        <f>(IF(COUNTIF(JF,Horaires356739[[#This Row],[Date]]),MAX(0,MIN(fin_dimJF,Horaires356739[[#This Row],[Fin corrigée si nuit]])-MAX(deb_dimJF,Horaires356739[[#This Row],[début]])),0)+IF(COUNTIF(JF,Horaires356739[[#This Row],[Date]]+1),MAX(0,Horaires356739[[#This Row],[Fin corrigée si nuit]]-(1+deb_dimJF)),0))*24-
(IF(COUNTIF(JF,Horaires356739[[#This Row],[Date]]),MAX(0,MIN(fin_dimJF,Horaires356739[[#This Row],[PNP Fin corrigée]])-MAX(deb_dimJF,Horaires356739[[#This Row],[PNP Début corrigé]])),0)+IF(COUNTIF(JF,Horaires356739[[#This Row],[Date]]+1),MAX(0,Horaires356739[[#This Row],[PNP Fin corrigée]]-(1+deb_dimJF)),0))*24</f>
        <v>0</v>
      </c>
    </row>
    <row r="45" spans="1:19" x14ac:dyDescent="0.35">
      <c r="A45" s="5"/>
      <c r="B45" s="1"/>
      <c r="C45" s="2"/>
      <c r="D45" s="2"/>
      <c r="E45" s="3"/>
      <c r="F45" s="3"/>
      <c r="G45" s="3"/>
      <c r="H45" s="3"/>
      <c r="I45" s="51">
        <f>0.1*(Horaires356739[[#This Row],[Heures de nuit]]+Horaires356739[[#This Row],[heures jour dimanche]]+Horaires356739[[#This Row],[heures jour fériés]])</f>
        <v>0</v>
      </c>
      <c r="J45" s="52">
        <f>(MOD(Horaires356739[[#This Row],[Fin]]-Horaires356739[[#This Row],[début]],1)-MOD(Horaires356739[[#This Row],[PNP Fin]]-Horaires356739[[#This Row],[PNP Début]],1))*24</f>
        <v>0</v>
      </c>
      <c r="K45" s="53">
        <f>IF(Horaires356739[[#This Row],[PNP Début]]=0,0,IF(Horaires356739[[#This Row],[PNP Début]]&lt;Horaires356739[[#This Row],[début]],1,0)+Horaires356739[[#This Row],[PNP Début]])</f>
        <v>0</v>
      </c>
      <c r="L45" s="54">
        <f>IF(Horaires356739[[#This Row],[PNP Fin]]=0,0,IF(Horaires356739[[#This Row],[PNP Fin]]&lt;Horaires356739[[#This Row],[début]],1,0)+Horaires356739[[#This Row],[PNP Fin]])</f>
        <v>0</v>
      </c>
      <c r="M45" s="54">
        <f>IF(Horaires356739[[#This Row],[Fin]]&lt;Horaires356739[[#This Row],[début]],1,0)+Horaires356739[[#This Row],[Fin]]</f>
        <v>0</v>
      </c>
      <c r="N45" s="35">
        <f>IF(Horaires356739[[#This Row],[Fin]]&lt;Horaires356739[[#This Row],[début]],MAX(0,MIN(Horaires356739[[#This Row],[Fin corrigée si nuit]],fin_nuit)-MAX(Horaires356739[[#This Row],[début]],deb_nuit))*24,(MAX(deb_nuit,Horaires356739[[#This Row],[Fin]])-MAX(deb_nuit,Horaires356739[[#This Row],[début]])+MAX(MIN(fin_nuit-1,Horaires356739[[#This Row],[Fin]])-MIN(fin_nuit-1,Horaires356739[[#This Row],[début]]),0))*24)</f>
        <v>0</v>
      </c>
      <c r="O45" s="55">
        <f>(MAX(0,MIN(Horaires356739[[#This Row],[Fin corrigée si nuit]],fin_nuit)-MAX(Horaires356739[[#This Row],[début]],deb_nuit))-IF(Horaires356739[[#This Row],[PNP Début]]=0,0,MIN(Horaires356739[[#This Row],[PNP Fin corrigée]],fin_nuit)-MAX(Horaires356739[[#This Row],[PNP Début corrigé]],deb_nuit)))*24</f>
        <v>0</v>
      </c>
      <c r="P45" s="55">
        <f>(IF(WEEKDAY(Horaires356739[[#This Row],[Date]],2)=7,MAX(0,MIN(fin_dimJF,Horaires356739[[#This Row],[Fin corrigée si nuit]])-MAX(deb_dimJF,Horaires356739[[#This Row],[début]])),0)+IF(WEEKDAY(Horaires356739[[#This Row],[Date]],2)=6,MAX(0,Horaires356739[[#This Row],[Fin corrigée si nuit]]-(1+deb_dimJF)),0))*24</f>
        <v>0</v>
      </c>
      <c r="Q45" s="55">
        <f>(IF(WEEKDAY(Horaires356739[[#This Row],[Date]],2)=7,MAX(0,MIN(fin_dimJF,Horaires356739[[#This Row],[Fin corrigée si nuit]])-MAX(deb_dimJF,Horaires356739[[#This Row],[début]])),0)+IF(WEEKDAY(Horaires356739[[#This Row],[Date]],2)=6,MAX(0,Horaires356739[[#This Row],[Fin corrigée si nuit]]-(1+deb_dimJF)),0))*24-
(IF(WEEKDAY(Horaires356739[[#This Row],[Date]],2)=7,MAX(0,MIN(fin_dimJF,Horaires356739[[#This Row],[PNP Fin corrigée]])-MAX(deb_dimJF,Horaires356739[[#This Row],[PNP Début corrigé]])),0)+IF(WEEKDAY(Horaires356739[[#This Row],[Date]],2)=6,MAX(0,Horaires356739[[#This Row],[PNP Fin corrigée]]-(1+deb_dimJF)),0))*24</f>
        <v>0</v>
      </c>
      <c r="R45" s="55">
        <f>(IF(COUNTIF(JF,Horaires356739[[#This Row],[Date]]),MAX(0,MIN(fin_dimJF,Horaires356739[[#This Row],[Fin corrigée si nuit]])-MAX(deb_dimJF,Horaires356739[[#This Row],[début]])),0)+IF(COUNTIF(JF,Horaires356739[[#This Row],[Date]]+1),MAX(0,Horaires356739[[#This Row],[Fin corrigée si nuit]]-(1+deb_dimJF)),0))*24</f>
        <v>0</v>
      </c>
      <c r="S45" s="55">
        <f>(IF(COUNTIF(JF,Horaires356739[[#This Row],[Date]]),MAX(0,MIN(fin_dimJF,Horaires356739[[#This Row],[Fin corrigée si nuit]])-MAX(deb_dimJF,Horaires356739[[#This Row],[début]])),0)+IF(COUNTIF(JF,Horaires356739[[#This Row],[Date]]+1),MAX(0,Horaires356739[[#This Row],[Fin corrigée si nuit]]-(1+deb_dimJF)),0))*24-
(IF(COUNTIF(JF,Horaires356739[[#This Row],[Date]]),MAX(0,MIN(fin_dimJF,Horaires356739[[#This Row],[PNP Fin corrigée]])-MAX(deb_dimJF,Horaires356739[[#This Row],[PNP Début corrigé]])),0)+IF(COUNTIF(JF,Horaires356739[[#This Row],[Date]]+1),MAX(0,Horaires356739[[#This Row],[PNP Fin corrigée]]-(1+deb_dimJF)),0))*24</f>
        <v>0</v>
      </c>
    </row>
    <row r="46" spans="1:19" x14ac:dyDescent="0.35">
      <c r="A46" s="5"/>
      <c r="B46" s="1"/>
      <c r="C46" s="2"/>
      <c r="D46" s="2"/>
      <c r="E46" s="3"/>
      <c r="F46" s="3"/>
      <c r="G46" s="3"/>
      <c r="H46" s="3"/>
      <c r="I46" s="51">
        <f>0.1*(Horaires356739[[#This Row],[Heures de nuit]]+Horaires356739[[#This Row],[heures jour dimanche]]+Horaires356739[[#This Row],[heures jour fériés]])</f>
        <v>0</v>
      </c>
      <c r="J46" s="52">
        <f>(MOD(Horaires356739[[#This Row],[Fin]]-Horaires356739[[#This Row],[début]],1)-MOD(Horaires356739[[#This Row],[PNP Fin]]-Horaires356739[[#This Row],[PNP Début]],1))*24</f>
        <v>0</v>
      </c>
      <c r="K46" s="53">
        <f>IF(Horaires356739[[#This Row],[PNP Début]]=0,0,IF(Horaires356739[[#This Row],[PNP Début]]&lt;Horaires356739[[#This Row],[début]],1,0)+Horaires356739[[#This Row],[PNP Début]])</f>
        <v>0</v>
      </c>
      <c r="L46" s="54">
        <f>IF(Horaires356739[[#This Row],[PNP Fin]]=0,0,IF(Horaires356739[[#This Row],[PNP Fin]]&lt;Horaires356739[[#This Row],[début]],1,0)+Horaires356739[[#This Row],[PNP Fin]])</f>
        <v>0</v>
      </c>
      <c r="M46" s="54">
        <f>IF(Horaires356739[[#This Row],[Fin]]&lt;Horaires356739[[#This Row],[début]],1,0)+Horaires356739[[#This Row],[Fin]]</f>
        <v>0</v>
      </c>
      <c r="N46" s="35">
        <f>IF(Horaires356739[[#This Row],[Fin]]&lt;Horaires356739[[#This Row],[début]],MAX(0,MIN(Horaires356739[[#This Row],[Fin corrigée si nuit]],fin_nuit)-MAX(Horaires356739[[#This Row],[début]],deb_nuit))*24,(MAX(deb_nuit,Horaires356739[[#This Row],[Fin]])-MAX(deb_nuit,Horaires356739[[#This Row],[début]])+MAX(MIN(fin_nuit-1,Horaires356739[[#This Row],[Fin]])-MIN(fin_nuit-1,Horaires356739[[#This Row],[début]]),0))*24)</f>
        <v>0</v>
      </c>
      <c r="O46" s="55">
        <f>(MAX(0,MIN(Horaires356739[[#This Row],[Fin corrigée si nuit]],fin_nuit)-MAX(Horaires356739[[#This Row],[début]],deb_nuit))-IF(Horaires356739[[#This Row],[PNP Début]]=0,0,MIN(Horaires356739[[#This Row],[PNP Fin corrigée]],fin_nuit)-MAX(Horaires356739[[#This Row],[PNP Début corrigé]],deb_nuit)))*24</f>
        <v>0</v>
      </c>
      <c r="P46" s="55">
        <f>(IF(WEEKDAY(Horaires356739[[#This Row],[Date]],2)=7,MAX(0,MIN(fin_dimJF,Horaires356739[[#This Row],[Fin corrigée si nuit]])-MAX(deb_dimJF,Horaires356739[[#This Row],[début]])),0)+IF(WEEKDAY(Horaires356739[[#This Row],[Date]],2)=6,MAX(0,Horaires356739[[#This Row],[Fin corrigée si nuit]]-(1+deb_dimJF)),0))*24</f>
        <v>0</v>
      </c>
      <c r="Q46" s="55">
        <f>(IF(WEEKDAY(Horaires356739[[#This Row],[Date]],2)=7,MAX(0,MIN(fin_dimJF,Horaires356739[[#This Row],[Fin corrigée si nuit]])-MAX(deb_dimJF,Horaires356739[[#This Row],[début]])),0)+IF(WEEKDAY(Horaires356739[[#This Row],[Date]],2)=6,MAX(0,Horaires356739[[#This Row],[Fin corrigée si nuit]]-(1+deb_dimJF)),0))*24-
(IF(WEEKDAY(Horaires356739[[#This Row],[Date]],2)=7,MAX(0,MIN(fin_dimJF,Horaires356739[[#This Row],[PNP Fin corrigée]])-MAX(deb_dimJF,Horaires356739[[#This Row],[PNP Début corrigé]])),0)+IF(WEEKDAY(Horaires356739[[#This Row],[Date]],2)=6,MAX(0,Horaires356739[[#This Row],[PNP Fin corrigée]]-(1+deb_dimJF)),0))*24</f>
        <v>0</v>
      </c>
      <c r="R46" s="55">
        <f>(IF(COUNTIF(JF,Horaires356739[[#This Row],[Date]]),MAX(0,MIN(fin_dimJF,Horaires356739[[#This Row],[Fin corrigée si nuit]])-MAX(deb_dimJF,Horaires356739[[#This Row],[début]])),0)+IF(COUNTIF(JF,Horaires356739[[#This Row],[Date]]+1),MAX(0,Horaires356739[[#This Row],[Fin corrigée si nuit]]-(1+deb_dimJF)),0))*24</f>
        <v>0</v>
      </c>
      <c r="S46" s="55">
        <f>(IF(COUNTIF(JF,Horaires356739[[#This Row],[Date]]),MAX(0,MIN(fin_dimJF,Horaires356739[[#This Row],[Fin corrigée si nuit]])-MAX(deb_dimJF,Horaires356739[[#This Row],[début]])),0)+IF(COUNTIF(JF,Horaires356739[[#This Row],[Date]]+1),MAX(0,Horaires356739[[#This Row],[Fin corrigée si nuit]]-(1+deb_dimJF)),0))*24-
(IF(COUNTIF(JF,Horaires356739[[#This Row],[Date]]),MAX(0,MIN(fin_dimJF,Horaires356739[[#This Row],[PNP Fin corrigée]])-MAX(deb_dimJF,Horaires356739[[#This Row],[PNP Début corrigé]])),0)+IF(COUNTIF(JF,Horaires356739[[#This Row],[Date]]+1),MAX(0,Horaires356739[[#This Row],[PNP Fin corrigée]]-(1+deb_dimJF)),0))*24</f>
        <v>0</v>
      </c>
    </row>
    <row r="47" spans="1:19" x14ac:dyDescent="0.35">
      <c r="A47" s="5"/>
      <c r="B47" s="1"/>
      <c r="C47" s="2"/>
      <c r="D47" s="2"/>
      <c r="E47" s="3"/>
      <c r="F47" s="3"/>
      <c r="G47" s="3"/>
      <c r="H47" s="3"/>
      <c r="I47" s="51">
        <f>0.1*(Horaires356739[[#This Row],[Heures de nuit]]+Horaires356739[[#This Row],[heures jour dimanche]]+Horaires356739[[#This Row],[heures jour fériés]])</f>
        <v>0</v>
      </c>
      <c r="J47" s="52">
        <f>(MOD(Horaires356739[[#This Row],[Fin]]-Horaires356739[[#This Row],[début]],1)-MOD(Horaires356739[[#This Row],[PNP Fin]]-Horaires356739[[#This Row],[PNP Début]],1))*24</f>
        <v>0</v>
      </c>
      <c r="K47" s="53">
        <f>IF(Horaires356739[[#This Row],[PNP Début]]=0,0,IF(Horaires356739[[#This Row],[PNP Début]]&lt;Horaires356739[[#This Row],[début]],1,0)+Horaires356739[[#This Row],[PNP Début]])</f>
        <v>0</v>
      </c>
      <c r="L47" s="54">
        <f>IF(Horaires356739[[#This Row],[PNP Fin]]=0,0,IF(Horaires356739[[#This Row],[PNP Fin]]&lt;Horaires356739[[#This Row],[début]],1,0)+Horaires356739[[#This Row],[PNP Fin]])</f>
        <v>0</v>
      </c>
      <c r="M47" s="54">
        <f>IF(Horaires356739[[#This Row],[Fin]]&lt;Horaires356739[[#This Row],[début]],1,0)+Horaires356739[[#This Row],[Fin]]</f>
        <v>0</v>
      </c>
      <c r="N47" s="35">
        <f>IF(Horaires356739[[#This Row],[Fin]]&lt;Horaires356739[[#This Row],[début]],MAX(0,MIN(Horaires356739[[#This Row],[Fin corrigée si nuit]],fin_nuit)-MAX(Horaires356739[[#This Row],[début]],deb_nuit))*24,(MAX(deb_nuit,Horaires356739[[#This Row],[Fin]])-MAX(deb_nuit,Horaires356739[[#This Row],[début]])+MAX(MIN(fin_nuit-1,Horaires356739[[#This Row],[Fin]])-MIN(fin_nuit-1,Horaires356739[[#This Row],[début]]),0))*24)</f>
        <v>0</v>
      </c>
      <c r="O47" s="55">
        <f>(MAX(0,MIN(Horaires356739[[#This Row],[Fin corrigée si nuit]],fin_nuit)-MAX(Horaires356739[[#This Row],[début]],deb_nuit))-IF(Horaires356739[[#This Row],[PNP Début]]=0,0,MIN(Horaires356739[[#This Row],[PNP Fin corrigée]],fin_nuit)-MAX(Horaires356739[[#This Row],[PNP Début corrigé]],deb_nuit)))*24</f>
        <v>0</v>
      </c>
      <c r="P47" s="55">
        <f>(IF(WEEKDAY(Horaires356739[[#This Row],[Date]],2)=7,MAX(0,MIN(fin_dimJF,Horaires356739[[#This Row],[Fin corrigée si nuit]])-MAX(deb_dimJF,Horaires356739[[#This Row],[début]])),0)+IF(WEEKDAY(Horaires356739[[#This Row],[Date]],2)=6,MAX(0,Horaires356739[[#This Row],[Fin corrigée si nuit]]-(1+deb_dimJF)),0))*24</f>
        <v>0</v>
      </c>
      <c r="Q47" s="55">
        <f>(IF(WEEKDAY(Horaires356739[[#This Row],[Date]],2)=7,MAX(0,MIN(fin_dimJF,Horaires356739[[#This Row],[Fin corrigée si nuit]])-MAX(deb_dimJF,Horaires356739[[#This Row],[début]])),0)+IF(WEEKDAY(Horaires356739[[#This Row],[Date]],2)=6,MAX(0,Horaires356739[[#This Row],[Fin corrigée si nuit]]-(1+deb_dimJF)),0))*24-
(IF(WEEKDAY(Horaires356739[[#This Row],[Date]],2)=7,MAX(0,MIN(fin_dimJF,Horaires356739[[#This Row],[PNP Fin corrigée]])-MAX(deb_dimJF,Horaires356739[[#This Row],[PNP Début corrigé]])),0)+IF(WEEKDAY(Horaires356739[[#This Row],[Date]],2)=6,MAX(0,Horaires356739[[#This Row],[PNP Fin corrigée]]-(1+deb_dimJF)),0))*24</f>
        <v>0</v>
      </c>
      <c r="R47" s="55">
        <f>(IF(COUNTIF(JF,Horaires356739[[#This Row],[Date]]),MAX(0,MIN(fin_dimJF,Horaires356739[[#This Row],[Fin corrigée si nuit]])-MAX(deb_dimJF,Horaires356739[[#This Row],[début]])),0)+IF(COUNTIF(JF,Horaires356739[[#This Row],[Date]]+1),MAX(0,Horaires356739[[#This Row],[Fin corrigée si nuit]]-(1+deb_dimJF)),0))*24</f>
        <v>0</v>
      </c>
      <c r="S47" s="55">
        <f>(IF(COUNTIF(JF,Horaires356739[[#This Row],[Date]]),MAX(0,MIN(fin_dimJF,Horaires356739[[#This Row],[Fin corrigée si nuit]])-MAX(deb_dimJF,Horaires356739[[#This Row],[début]])),0)+IF(COUNTIF(JF,Horaires356739[[#This Row],[Date]]+1),MAX(0,Horaires356739[[#This Row],[Fin corrigée si nuit]]-(1+deb_dimJF)),0))*24-
(IF(COUNTIF(JF,Horaires356739[[#This Row],[Date]]),MAX(0,MIN(fin_dimJF,Horaires356739[[#This Row],[PNP Fin corrigée]])-MAX(deb_dimJF,Horaires356739[[#This Row],[PNP Début corrigé]])),0)+IF(COUNTIF(JF,Horaires356739[[#This Row],[Date]]+1),MAX(0,Horaires356739[[#This Row],[PNP Fin corrigée]]-(1+deb_dimJF)),0))*24</f>
        <v>0</v>
      </c>
    </row>
    <row r="48" spans="1:19" x14ac:dyDescent="0.35">
      <c r="A48" s="5"/>
      <c r="B48" s="1"/>
      <c r="C48" s="2"/>
      <c r="D48" s="2"/>
      <c r="E48" s="3"/>
      <c r="F48" s="3"/>
      <c r="G48" s="3"/>
      <c r="H48" s="3"/>
      <c r="I48" s="51">
        <f>0.1*(Horaires356739[[#This Row],[Heures de nuit]]+Horaires356739[[#This Row],[heures jour dimanche]]+Horaires356739[[#This Row],[heures jour fériés]])</f>
        <v>0</v>
      </c>
      <c r="J48" s="52">
        <f>(MOD(Horaires356739[[#This Row],[Fin]]-Horaires356739[[#This Row],[début]],1)-MOD(Horaires356739[[#This Row],[PNP Fin]]-Horaires356739[[#This Row],[PNP Début]],1))*24</f>
        <v>0</v>
      </c>
      <c r="K48" s="53">
        <f>IF(Horaires356739[[#This Row],[PNP Début]]=0,0,IF(Horaires356739[[#This Row],[PNP Début]]&lt;Horaires356739[[#This Row],[début]],1,0)+Horaires356739[[#This Row],[PNP Début]])</f>
        <v>0</v>
      </c>
      <c r="L48" s="54">
        <f>IF(Horaires356739[[#This Row],[PNP Fin]]=0,0,IF(Horaires356739[[#This Row],[PNP Fin]]&lt;Horaires356739[[#This Row],[début]],1,0)+Horaires356739[[#This Row],[PNP Fin]])</f>
        <v>0</v>
      </c>
      <c r="M48" s="54">
        <f>IF(Horaires356739[[#This Row],[Fin]]&lt;Horaires356739[[#This Row],[début]],1,0)+Horaires356739[[#This Row],[Fin]]</f>
        <v>0</v>
      </c>
      <c r="N48" s="35">
        <f>IF(Horaires356739[[#This Row],[Fin]]&lt;Horaires356739[[#This Row],[début]],MAX(0,MIN(Horaires356739[[#This Row],[Fin corrigée si nuit]],fin_nuit)-MAX(Horaires356739[[#This Row],[début]],deb_nuit))*24,(MAX(deb_nuit,Horaires356739[[#This Row],[Fin]])-MAX(deb_nuit,Horaires356739[[#This Row],[début]])+MAX(MIN(fin_nuit-1,Horaires356739[[#This Row],[Fin]])-MIN(fin_nuit-1,Horaires356739[[#This Row],[début]]),0))*24)</f>
        <v>0</v>
      </c>
      <c r="O48" s="55">
        <f>(MAX(0,MIN(Horaires356739[[#This Row],[Fin corrigée si nuit]],fin_nuit)-MAX(Horaires356739[[#This Row],[début]],deb_nuit))-IF(Horaires356739[[#This Row],[PNP Début]]=0,0,MIN(Horaires356739[[#This Row],[PNP Fin corrigée]],fin_nuit)-MAX(Horaires356739[[#This Row],[PNP Début corrigé]],deb_nuit)))*24</f>
        <v>0</v>
      </c>
      <c r="P48" s="55">
        <f>(IF(WEEKDAY(Horaires356739[[#This Row],[Date]],2)=7,MAX(0,MIN(fin_dimJF,Horaires356739[[#This Row],[Fin corrigée si nuit]])-MAX(deb_dimJF,Horaires356739[[#This Row],[début]])),0)+IF(WEEKDAY(Horaires356739[[#This Row],[Date]],2)=6,MAX(0,Horaires356739[[#This Row],[Fin corrigée si nuit]]-(1+deb_dimJF)),0))*24</f>
        <v>0</v>
      </c>
      <c r="Q48" s="55">
        <f>(IF(WEEKDAY(Horaires356739[[#This Row],[Date]],2)=7,MAX(0,MIN(fin_dimJF,Horaires356739[[#This Row],[Fin corrigée si nuit]])-MAX(deb_dimJF,Horaires356739[[#This Row],[début]])),0)+IF(WEEKDAY(Horaires356739[[#This Row],[Date]],2)=6,MAX(0,Horaires356739[[#This Row],[Fin corrigée si nuit]]-(1+deb_dimJF)),0))*24-
(IF(WEEKDAY(Horaires356739[[#This Row],[Date]],2)=7,MAX(0,MIN(fin_dimJF,Horaires356739[[#This Row],[PNP Fin corrigée]])-MAX(deb_dimJF,Horaires356739[[#This Row],[PNP Début corrigé]])),0)+IF(WEEKDAY(Horaires356739[[#This Row],[Date]],2)=6,MAX(0,Horaires356739[[#This Row],[PNP Fin corrigée]]-(1+deb_dimJF)),0))*24</f>
        <v>0</v>
      </c>
      <c r="R48" s="55">
        <f>(IF(COUNTIF(JF,Horaires356739[[#This Row],[Date]]),MAX(0,MIN(fin_dimJF,Horaires356739[[#This Row],[Fin corrigée si nuit]])-MAX(deb_dimJF,Horaires356739[[#This Row],[début]])),0)+IF(COUNTIF(JF,Horaires356739[[#This Row],[Date]]+1),MAX(0,Horaires356739[[#This Row],[Fin corrigée si nuit]]-(1+deb_dimJF)),0))*24</f>
        <v>0</v>
      </c>
      <c r="S48" s="55">
        <f>(IF(COUNTIF(JF,Horaires356739[[#This Row],[Date]]),MAX(0,MIN(fin_dimJF,Horaires356739[[#This Row],[Fin corrigée si nuit]])-MAX(deb_dimJF,Horaires356739[[#This Row],[début]])),0)+IF(COUNTIF(JF,Horaires356739[[#This Row],[Date]]+1),MAX(0,Horaires356739[[#This Row],[Fin corrigée si nuit]]-(1+deb_dimJF)),0))*24-
(IF(COUNTIF(JF,Horaires356739[[#This Row],[Date]]),MAX(0,MIN(fin_dimJF,Horaires356739[[#This Row],[PNP Fin corrigée]])-MAX(deb_dimJF,Horaires356739[[#This Row],[PNP Début corrigé]])),0)+IF(COUNTIF(JF,Horaires356739[[#This Row],[Date]]+1),MAX(0,Horaires356739[[#This Row],[PNP Fin corrigée]]-(1+deb_dimJF)),0))*24</f>
        <v>0</v>
      </c>
    </row>
    <row r="49" spans="1:19" ht="15" thickBot="1" x14ac:dyDescent="0.4">
      <c r="A49" s="5"/>
      <c r="B49" s="1"/>
      <c r="C49" s="2"/>
      <c r="D49" s="2"/>
      <c r="E49" s="3"/>
      <c r="F49" s="3"/>
      <c r="G49" s="3"/>
      <c r="H49" s="3"/>
      <c r="I49" s="51">
        <f>0.1*(Horaires356739[[#This Row],[Heures de nuit]]+Horaires356739[[#This Row],[heures jour dimanche]]+Horaires356739[[#This Row],[heures jour fériés]])</f>
        <v>0</v>
      </c>
      <c r="J49" s="52">
        <f>(MOD(Horaires356739[[#This Row],[Fin]]-Horaires356739[[#This Row],[début]],1)-MOD(Horaires356739[[#This Row],[PNP Fin]]-Horaires356739[[#This Row],[PNP Début]],1))*24</f>
        <v>0</v>
      </c>
      <c r="K49" s="53">
        <f>IF(Horaires356739[[#This Row],[PNP Début]]=0,0,IF(Horaires356739[[#This Row],[PNP Début]]&lt;Horaires356739[[#This Row],[début]],1,0)+Horaires356739[[#This Row],[PNP Début]])</f>
        <v>0</v>
      </c>
      <c r="L49" s="54">
        <f>IF(Horaires356739[[#This Row],[PNP Fin]]=0,0,IF(Horaires356739[[#This Row],[PNP Fin]]&lt;Horaires356739[[#This Row],[début]],1,0)+Horaires356739[[#This Row],[PNP Fin]])</f>
        <v>0</v>
      </c>
      <c r="M49" s="54">
        <f>IF(Horaires356739[[#This Row],[Fin]]&lt;Horaires356739[[#This Row],[début]],1,0)+Horaires356739[[#This Row],[Fin]]</f>
        <v>0</v>
      </c>
      <c r="N49" s="35">
        <f>IF(Horaires356739[[#This Row],[Fin]]&lt;Horaires356739[[#This Row],[début]],MAX(0,MIN(Horaires356739[[#This Row],[Fin corrigée si nuit]],fin_nuit)-MAX(Horaires356739[[#This Row],[début]],deb_nuit))*24,(MAX(deb_nuit,Horaires356739[[#This Row],[Fin]])-MAX(deb_nuit,Horaires356739[[#This Row],[début]])+MAX(MIN(fin_nuit-1,Horaires356739[[#This Row],[Fin]])-MIN(fin_nuit-1,Horaires356739[[#This Row],[début]]),0))*24)</f>
        <v>0</v>
      </c>
      <c r="O49" s="55">
        <f>(MAX(0,MIN(Horaires356739[[#This Row],[Fin corrigée si nuit]],fin_nuit)-MAX(Horaires356739[[#This Row],[début]],deb_nuit))-IF(Horaires356739[[#This Row],[PNP Début]]=0,0,MIN(Horaires356739[[#This Row],[PNP Fin corrigée]],fin_nuit)-MAX(Horaires356739[[#This Row],[PNP Début corrigé]],deb_nuit)))*24</f>
        <v>0</v>
      </c>
      <c r="P49" s="55">
        <f>(IF(WEEKDAY(Horaires356739[[#This Row],[Date]],2)=7,MAX(0,MIN(fin_dimJF,Horaires356739[[#This Row],[Fin corrigée si nuit]])-MAX(deb_dimJF,Horaires356739[[#This Row],[début]])),0)+IF(WEEKDAY(Horaires356739[[#This Row],[Date]],2)=6,MAX(0,Horaires356739[[#This Row],[Fin corrigée si nuit]]-(1+deb_dimJF)),0))*24</f>
        <v>0</v>
      </c>
      <c r="Q49" s="55">
        <f>(IF(WEEKDAY(Horaires356739[[#This Row],[Date]],2)=7,MAX(0,MIN(fin_dimJF,Horaires356739[[#This Row],[Fin corrigée si nuit]])-MAX(deb_dimJF,Horaires356739[[#This Row],[début]])),0)+IF(WEEKDAY(Horaires356739[[#This Row],[Date]],2)=6,MAX(0,Horaires356739[[#This Row],[Fin corrigée si nuit]]-(1+deb_dimJF)),0))*24-
(IF(WEEKDAY(Horaires356739[[#This Row],[Date]],2)=7,MAX(0,MIN(fin_dimJF,Horaires356739[[#This Row],[PNP Fin corrigée]])-MAX(deb_dimJF,Horaires356739[[#This Row],[PNP Début corrigé]])),0)+IF(WEEKDAY(Horaires356739[[#This Row],[Date]],2)=6,MAX(0,Horaires356739[[#This Row],[PNP Fin corrigée]]-(1+deb_dimJF)),0))*24</f>
        <v>0</v>
      </c>
      <c r="R49" s="55">
        <f>(IF(COUNTIF(JF,Horaires356739[[#This Row],[Date]]),MAX(0,MIN(fin_dimJF,Horaires356739[[#This Row],[Fin corrigée si nuit]])-MAX(deb_dimJF,Horaires356739[[#This Row],[début]])),0)+IF(COUNTIF(JF,Horaires356739[[#This Row],[Date]]+1),MAX(0,Horaires356739[[#This Row],[Fin corrigée si nuit]]-(1+deb_dimJF)),0))*24</f>
        <v>0</v>
      </c>
      <c r="S49" s="55">
        <f>(IF(COUNTIF(JF,Horaires356739[[#This Row],[Date]]),MAX(0,MIN(fin_dimJF,Horaires356739[[#This Row],[Fin corrigée si nuit]])-MAX(deb_dimJF,Horaires356739[[#This Row],[début]])),0)+IF(COUNTIF(JF,Horaires356739[[#This Row],[Date]]+1),MAX(0,Horaires356739[[#This Row],[Fin corrigée si nuit]]-(1+deb_dimJF)),0))*24-
(IF(COUNTIF(JF,Horaires356739[[#This Row],[Date]]),MAX(0,MIN(fin_dimJF,Horaires356739[[#This Row],[PNP Fin corrigée]])-MAX(deb_dimJF,Horaires356739[[#This Row],[PNP Début corrigé]])),0)+IF(COUNTIF(JF,Horaires356739[[#This Row],[Date]]+1),MAX(0,Horaires356739[[#This Row],[PNP Fin corrigée]]-(1+deb_dimJF)),0))*24</f>
        <v>0</v>
      </c>
    </row>
    <row r="50" spans="1:19" ht="16" thickBot="1" x14ac:dyDescent="0.4">
      <c r="A50" s="56"/>
      <c r="B50" s="19"/>
      <c r="C50" s="19"/>
      <c r="D50" s="19"/>
      <c r="E50" s="113" t="s">
        <v>29</v>
      </c>
      <c r="F50" s="114"/>
      <c r="G50" s="114"/>
      <c r="H50" s="115"/>
      <c r="I50" s="57">
        <f>SUM(Horaires356739[Majoration])</f>
        <v>0</v>
      </c>
      <c r="J50" s="58">
        <f>SUM(Horaires356739[Heures totales payées])</f>
        <v>0</v>
      </c>
      <c r="K50" s="19"/>
      <c r="L50" s="19"/>
      <c r="M50" s="19"/>
      <c r="N50" s="19"/>
      <c r="O50" s="19"/>
      <c r="P50" s="19"/>
      <c r="Q50" s="19"/>
      <c r="R50" s="19"/>
      <c r="S50" s="19"/>
    </row>
    <row r="51" spans="1:19" ht="17.399999999999999" customHeight="1" x14ac:dyDescent="0.35">
      <c r="A51" s="116" t="s">
        <v>30</v>
      </c>
      <c r="B51" s="116"/>
      <c r="C51" s="116"/>
      <c r="D51" s="116"/>
      <c r="E51" s="19"/>
      <c r="F51" s="19"/>
      <c r="G51" s="117" t="s">
        <v>31</v>
      </c>
      <c r="H51" s="117"/>
      <c r="I51" s="117"/>
      <c r="J51" s="117"/>
      <c r="K51" s="19"/>
      <c r="L51" s="19"/>
      <c r="M51" s="19"/>
      <c r="N51" s="19"/>
      <c r="O51" s="19"/>
      <c r="P51" s="19"/>
      <c r="Q51" s="19"/>
      <c r="R51" s="19"/>
      <c r="S51" s="19"/>
    </row>
    <row r="52" spans="1:19" x14ac:dyDescent="0.35">
      <c r="A52" s="118"/>
      <c r="B52" s="119"/>
      <c r="C52" s="119"/>
      <c r="D52" s="120"/>
      <c r="E52" s="56"/>
      <c r="F52" s="19"/>
      <c r="G52" s="118"/>
      <c r="H52" s="119"/>
      <c r="I52" s="119"/>
      <c r="J52" s="119"/>
      <c r="K52" s="19"/>
      <c r="L52" s="19"/>
      <c r="M52" s="19"/>
      <c r="N52" s="19"/>
      <c r="O52" s="19"/>
      <c r="P52" s="19"/>
      <c r="Q52" s="19"/>
      <c r="R52" s="19"/>
      <c r="S52" s="19"/>
    </row>
    <row r="53" spans="1:19" x14ac:dyDescent="0.35">
      <c r="A53" s="121"/>
      <c r="B53" s="122"/>
      <c r="C53" s="122"/>
      <c r="D53" s="123"/>
      <c r="E53" s="19"/>
      <c r="F53" s="19"/>
      <c r="G53" s="121"/>
      <c r="H53" s="122"/>
      <c r="I53" s="122"/>
      <c r="J53" s="122"/>
      <c r="K53" s="19"/>
      <c r="L53" s="19"/>
      <c r="M53" s="19"/>
      <c r="N53" s="19"/>
      <c r="O53" s="19"/>
      <c r="P53" s="19"/>
      <c r="Q53" s="19"/>
      <c r="R53" s="19"/>
      <c r="S53" s="19"/>
    </row>
    <row r="54" spans="1:19" ht="7.75" customHeight="1" x14ac:dyDescent="0.35">
      <c r="A54" s="124"/>
      <c r="B54" s="125"/>
      <c r="C54" s="125"/>
      <c r="D54" s="126"/>
      <c r="E54" s="56"/>
      <c r="F54" s="19"/>
      <c r="G54" s="124"/>
      <c r="H54" s="125"/>
      <c r="I54" s="125"/>
      <c r="J54" s="125"/>
      <c r="K54" s="19"/>
      <c r="L54" s="19"/>
      <c r="M54" s="19"/>
      <c r="N54" s="19"/>
      <c r="O54" s="19"/>
      <c r="P54" s="19"/>
      <c r="Q54" s="19"/>
      <c r="R54" s="19"/>
      <c r="S54" s="19"/>
    </row>
    <row r="55" spans="1:19" x14ac:dyDescent="0.35">
      <c r="A55" s="56"/>
      <c r="B55" s="19"/>
      <c r="C55" s="19"/>
      <c r="D55" s="19"/>
      <c r="E55" s="19"/>
      <c r="F55" s="19"/>
      <c r="G55" s="19"/>
      <c r="H55" s="19"/>
      <c r="I55" s="19"/>
      <c r="J55" s="62"/>
      <c r="K55" s="19"/>
      <c r="L55" s="19"/>
      <c r="M55" s="19"/>
      <c r="N55" s="19"/>
      <c r="O55" s="19"/>
      <c r="P55" s="19"/>
      <c r="Q55" s="19"/>
      <c r="R55" s="19"/>
      <c r="S55" s="19"/>
    </row>
    <row r="56" spans="1:19" x14ac:dyDescent="0.35">
      <c r="A56" s="19"/>
      <c r="B56" s="19"/>
      <c r="C56" s="19"/>
      <c r="D56" s="19"/>
      <c r="E56" s="19"/>
      <c r="F56" s="19"/>
      <c r="G56" s="19"/>
      <c r="H56" s="19"/>
      <c r="I56" s="19"/>
      <c r="J56" s="20"/>
      <c r="K56" s="19"/>
      <c r="L56" s="19"/>
      <c r="M56" s="19"/>
      <c r="N56" s="19"/>
      <c r="O56" s="19"/>
      <c r="P56" s="19"/>
      <c r="Q56" s="19"/>
      <c r="R56" s="19"/>
      <c r="S56" s="19"/>
    </row>
    <row r="57" spans="1:19" x14ac:dyDescent="0.35">
      <c r="A57" s="19"/>
      <c r="B57" s="19"/>
      <c r="C57" s="19"/>
      <c r="D57" s="19"/>
      <c r="E57" s="19"/>
      <c r="F57" s="19"/>
      <c r="G57" s="19"/>
      <c r="H57" s="19"/>
      <c r="I57" s="19"/>
      <c r="J57" s="20"/>
      <c r="K57" s="19"/>
      <c r="L57" s="19"/>
      <c r="M57" s="19"/>
      <c r="N57" s="19"/>
      <c r="O57" s="19"/>
      <c r="P57" s="19"/>
      <c r="Q57" s="19"/>
      <c r="R57" s="19"/>
      <c r="S57" s="19"/>
    </row>
    <row r="58" spans="1:19" x14ac:dyDescent="0.35">
      <c r="A58" s="19"/>
      <c r="B58" s="19"/>
      <c r="C58" s="19"/>
      <c r="D58" s="19"/>
      <c r="E58" s="19"/>
      <c r="F58" s="19"/>
      <c r="G58" s="19"/>
      <c r="H58" s="19"/>
      <c r="I58" s="19"/>
      <c r="J58" s="20"/>
      <c r="K58" s="19"/>
      <c r="L58" s="19"/>
      <c r="M58" s="19"/>
      <c r="N58" s="19"/>
      <c r="O58" s="19"/>
      <c r="P58" s="19"/>
      <c r="Q58" s="19"/>
      <c r="R58" s="19"/>
      <c r="S58" s="19"/>
    </row>
    <row r="59" spans="1:19" x14ac:dyDescent="0.35">
      <c r="A59" s="19"/>
      <c r="B59" s="19"/>
      <c r="C59" s="19"/>
      <c r="D59" s="19"/>
      <c r="E59" s="19"/>
      <c r="F59" s="19"/>
      <c r="G59" s="19"/>
      <c r="H59" s="19"/>
      <c r="I59" s="19"/>
      <c r="J59" s="20"/>
      <c r="K59" s="19"/>
      <c r="L59" s="19"/>
      <c r="M59" s="19"/>
      <c r="N59" s="19"/>
      <c r="O59" s="19"/>
      <c r="P59" s="19"/>
      <c r="Q59" s="19"/>
      <c r="R59" s="19"/>
      <c r="S59" s="19"/>
    </row>
    <row r="60" spans="1:19" x14ac:dyDescent="0.35">
      <c r="A60" s="19"/>
      <c r="B60" s="19"/>
      <c r="C60" s="19"/>
      <c r="D60" s="19"/>
      <c r="E60" s="19"/>
      <c r="F60" s="19"/>
      <c r="G60" s="19"/>
      <c r="H60" s="19"/>
      <c r="I60" s="19"/>
      <c r="J60" s="20"/>
      <c r="K60" s="19"/>
      <c r="L60" s="19"/>
      <c r="M60" s="19"/>
      <c r="N60" s="19"/>
      <c r="O60" s="19"/>
      <c r="P60" s="19"/>
      <c r="Q60" s="19"/>
      <c r="R60" s="19"/>
      <c r="S60" s="19"/>
    </row>
  </sheetData>
  <sheetProtection selectLockedCells="1"/>
  <mergeCells count="19">
    <mergeCell ref="E50:H50"/>
    <mergeCell ref="A51:D51"/>
    <mergeCell ref="G51:J51"/>
    <mergeCell ref="A52:D54"/>
    <mergeCell ref="G52:J54"/>
    <mergeCell ref="A1:B2"/>
    <mergeCell ref="A3:J4"/>
    <mergeCell ref="D5:F5"/>
    <mergeCell ref="G5:H5"/>
    <mergeCell ref="J9:J11"/>
    <mergeCell ref="C10:C11"/>
    <mergeCell ref="D10:D11"/>
    <mergeCell ref="E10:F10"/>
    <mergeCell ref="G10:H10"/>
    <mergeCell ref="A9:A11"/>
    <mergeCell ref="B9:B11"/>
    <mergeCell ref="C9:D9"/>
    <mergeCell ref="E9:H9"/>
    <mergeCell ref="I9:I11"/>
  </mergeCells>
  <dataValidations count="3">
    <dataValidation type="date" operator="greaterThan" allowBlank="1" showInputMessage="1" showErrorMessage="1" error="Tapez le mois sous le format suivant_x000a_09/17" promptTitle="Mois du relevé" sqref="J5">
      <formula1>42736</formula1>
    </dataValidation>
    <dataValidation type="time" allowBlank="1" showInputMessage="1" showErrorMessage="1" error="Tapez les heures sous le format_x000a_00:00" sqref="C13:H49">
      <formula1>0</formula1>
      <formula2>0.999305555555556</formula2>
    </dataValidation>
    <dataValidation allowBlank="1" showInputMessage="1" showErrorMessage="1" error="Tapez les heures sous le format_x000a_00:00" sqref="K12:N49"/>
  </dataValidations>
  <printOptions horizontalCentered="1"/>
  <pageMargins left="0" right="0" top="0" bottom="0" header="0" footer="0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9217" r:id="rId4" name="CommandButton1">
          <controlPr defaultSize="0" print="0" autoLine="0" r:id="rId5">
            <anchor moveWithCells="1">
              <from>
                <xdr:col>9</xdr:col>
                <xdr:colOff>774700</xdr:colOff>
                <xdr:row>0</xdr:row>
                <xdr:rowOff>177800</xdr:rowOff>
              </from>
              <to>
                <xdr:col>20</xdr:col>
                <xdr:colOff>0</xdr:colOff>
                <xdr:row>4</xdr:row>
                <xdr:rowOff>63500</xdr:rowOff>
              </to>
            </anchor>
          </controlPr>
        </control>
      </mc:Choice>
      <mc:Fallback>
        <control shapeId="9217" r:id="rId4" name="CommandButton1"/>
      </mc:Fallback>
    </mc:AlternateContent>
  </controls>
  <tableParts count="1">
    <tablePart r:id="rId6"/>
  </tableParts>
</worksheet>
</file>

<file path=xl/worksheets/sheet10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0"/>
  <dimension ref="A1:S60"/>
  <sheetViews>
    <sheetView workbookViewId="0">
      <selection activeCell="U10" sqref="U10"/>
    </sheetView>
  </sheetViews>
  <sheetFormatPr baseColWidth="10" defaultRowHeight="14.5" x14ac:dyDescent="0.35"/>
  <cols>
    <col min="1" max="1" width="20.08984375" customWidth="1"/>
    <col min="2" max="2" width="12.90625" customWidth="1"/>
    <col min="3" max="3" width="8.90625" customWidth="1"/>
    <col min="4" max="4" width="7.453125" customWidth="1"/>
    <col min="5" max="5" width="7" customWidth="1"/>
    <col min="6" max="6" width="6.81640625" customWidth="1"/>
    <col min="7" max="7" width="7" customWidth="1"/>
    <col min="8" max="8" width="7.81640625" customWidth="1"/>
    <col min="9" max="9" width="10.81640625" customWidth="1"/>
    <col min="10" max="10" width="11.54296875" style="15" customWidth="1"/>
    <col min="11" max="11" width="14.453125" hidden="1" customWidth="1"/>
    <col min="12" max="12" width="12.08984375" hidden="1" customWidth="1"/>
    <col min="13" max="13" width="15" hidden="1" customWidth="1"/>
    <col min="14" max="15" width="13.81640625" hidden="1" customWidth="1"/>
    <col min="16" max="19" width="15" hidden="1" customWidth="1"/>
  </cols>
  <sheetData>
    <row r="1" spans="1:19" ht="15.65" customHeight="1" x14ac:dyDescent="0.35">
      <c r="A1" s="101" t="s">
        <v>48</v>
      </c>
      <c r="B1" s="101"/>
      <c r="C1" s="16"/>
      <c r="D1" s="16"/>
      <c r="E1" s="17"/>
      <c r="F1" s="17"/>
      <c r="G1" s="17"/>
      <c r="H1" s="18" t="s">
        <v>35</v>
      </c>
      <c r="I1" s="18"/>
      <c r="J1" s="18"/>
      <c r="K1" s="16"/>
      <c r="L1" s="16"/>
      <c r="M1" s="16"/>
      <c r="N1" s="16"/>
      <c r="O1" s="19"/>
      <c r="P1" s="19"/>
      <c r="Q1" s="19"/>
      <c r="R1" s="19"/>
      <c r="S1" s="19"/>
    </row>
    <row r="2" spans="1:19" ht="14.4" customHeight="1" x14ac:dyDescent="0.35">
      <c r="A2" s="101"/>
      <c r="B2" s="101"/>
      <c r="C2" s="16"/>
      <c r="D2" s="16"/>
      <c r="E2" s="16"/>
      <c r="F2" s="16"/>
      <c r="G2" s="16"/>
      <c r="H2" s="16"/>
      <c r="I2" s="16"/>
      <c r="J2" s="20"/>
      <c r="K2" s="16"/>
      <c r="L2" s="16"/>
      <c r="M2" s="16"/>
      <c r="N2" s="16"/>
      <c r="O2" s="19"/>
      <c r="P2" s="19"/>
      <c r="Q2" s="19"/>
      <c r="R2" s="19"/>
      <c r="S2" s="19"/>
    </row>
    <row r="3" spans="1:19" ht="14.4" customHeight="1" x14ac:dyDescent="0.35">
      <c r="A3" s="102" t="s">
        <v>37</v>
      </c>
      <c r="B3" s="102"/>
      <c r="C3" s="102"/>
      <c r="D3" s="102"/>
      <c r="E3" s="102"/>
      <c r="F3" s="102"/>
      <c r="G3" s="102"/>
      <c r="H3" s="102"/>
      <c r="I3" s="102"/>
      <c r="J3" s="102"/>
      <c r="K3" s="16"/>
      <c r="L3" s="16"/>
      <c r="M3" s="16"/>
      <c r="N3" s="16"/>
      <c r="O3" s="19"/>
      <c r="P3" s="19"/>
      <c r="Q3" s="19"/>
      <c r="R3" s="19"/>
      <c r="S3" s="19"/>
    </row>
    <row r="4" spans="1:19" ht="19.25" customHeight="1" thickBot="1" x14ac:dyDescent="0.4">
      <c r="A4" s="103"/>
      <c r="B4" s="103"/>
      <c r="C4" s="103"/>
      <c r="D4" s="103"/>
      <c r="E4" s="103"/>
      <c r="F4" s="103"/>
      <c r="G4" s="103"/>
      <c r="H4" s="103"/>
      <c r="I4" s="103"/>
      <c r="J4" s="103"/>
      <c r="K4" s="19"/>
      <c r="L4" s="19"/>
      <c r="M4" s="19"/>
      <c r="N4" s="19"/>
      <c r="O4" s="19"/>
      <c r="P4" s="19"/>
      <c r="Q4" s="19"/>
      <c r="R4" s="19"/>
      <c r="S4" s="19"/>
    </row>
    <row r="5" spans="1:19" ht="19.75" customHeight="1" x14ac:dyDescent="0.35">
      <c r="A5" s="95" t="s">
        <v>113</v>
      </c>
      <c r="B5" s="96">
        <f>'Janvier 18'!B5</f>
        <v>0</v>
      </c>
      <c r="C5" s="21" t="s">
        <v>36</v>
      </c>
      <c r="D5" s="104">
        <f>'Janvier 18'!D5:F5</f>
        <v>0</v>
      </c>
      <c r="E5" s="105"/>
      <c r="F5" s="105"/>
      <c r="G5" s="106" t="s">
        <v>22</v>
      </c>
      <c r="H5" s="106"/>
      <c r="I5" s="64" t="str">
        <f ca="1">MID(CELL("filename",A1),FIND("]",CELL("filename",A1))+1,99)</f>
        <v>Juillet 18</v>
      </c>
      <c r="J5" s="97"/>
      <c r="K5" s="19"/>
      <c r="L5" s="19"/>
      <c r="M5" s="19"/>
      <c r="N5" s="19"/>
      <c r="O5" s="19"/>
      <c r="P5" s="19"/>
      <c r="Q5" s="19"/>
      <c r="R5" s="19"/>
      <c r="S5" s="19"/>
    </row>
    <row r="6" spans="1:19" ht="9.65" customHeight="1" x14ac:dyDescent="0.35">
      <c r="A6" s="22"/>
      <c r="B6" s="23"/>
      <c r="C6" s="23"/>
      <c r="D6" s="23"/>
      <c r="E6" s="23"/>
      <c r="F6" s="23"/>
      <c r="G6" s="23"/>
      <c r="H6" s="23"/>
      <c r="I6" s="23"/>
      <c r="J6" s="24"/>
      <c r="K6" s="19"/>
      <c r="L6" s="19"/>
      <c r="M6" s="19"/>
      <c r="N6" s="19"/>
      <c r="O6" s="19"/>
      <c r="P6" s="19"/>
      <c r="Q6" s="19"/>
      <c r="R6" s="19"/>
      <c r="S6" s="19"/>
    </row>
    <row r="7" spans="1:19" ht="15" thickBot="1" x14ac:dyDescent="0.4">
      <c r="A7" s="59" t="s">
        <v>23</v>
      </c>
      <c r="B7" s="98">
        <f>'Janvier 18'!B7</f>
        <v>0</v>
      </c>
      <c r="C7" s="25" t="s">
        <v>24</v>
      </c>
      <c r="D7" s="25"/>
      <c r="E7" s="98">
        <f>'Janvier 18'!E7</f>
        <v>0</v>
      </c>
      <c r="F7" s="25"/>
      <c r="G7" s="25"/>
      <c r="H7" s="25"/>
      <c r="I7" s="25"/>
      <c r="J7" s="26"/>
      <c r="K7" s="19"/>
      <c r="L7" s="19"/>
      <c r="M7" s="19"/>
      <c r="N7" s="19"/>
      <c r="O7" s="19"/>
      <c r="P7" s="19"/>
      <c r="Q7" s="19"/>
      <c r="R7" s="19"/>
      <c r="S7" s="19"/>
    </row>
    <row r="8" spans="1:19" ht="9.65" customHeight="1" x14ac:dyDescent="0.35">
      <c r="A8" s="19"/>
      <c r="B8" s="19"/>
      <c r="C8" s="19"/>
      <c r="D8" s="19"/>
      <c r="E8" s="19"/>
      <c r="F8" s="19"/>
      <c r="G8" s="19"/>
      <c r="H8" s="19"/>
      <c r="I8" s="19"/>
      <c r="J8" s="20"/>
      <c r="K8" s="19"/>
      <c r="L8" s="19"/>
      <c r="M8" s="19"/>
      <c r="N8" s="19"/>
      <c r="O8" s="19"/>
      <c r="P8" s="19"/>
      <c r="Q8" s="19"/>
      <c r="R8" s="19"/>
      <c r="S8" s="19"/>
    </row>
    <row r="9" spans="1:19" ht="16.75" customHeight="1" x14ac:dyDescent="0.35">
      <c r="A9" s="111" t="s">
        <v>0</v>
      </c>
      <c r="B9" s="111" t="s">
        <v>1</v>
      </c>
      <c r="C9" s="111" t="s">
        <v>2</v>
      </c>
      <c r="D9" s="111"/>
      <c r="E9" s="110" t="s">
        <v>25</v>
      </c>
      <c r="F9" s="110"/>
      <c r="G9" s="110"/>
      <c r="H9" s="110"/>
      <c r="I9" s="112" t="s">
        <v>21</v>
      </c>
      <c r="J9" s="108" t="s">
        <v>65</v>
      </c>
      <c r="K9" s="19"/>
      <c r="L9" s="19"/>
      <c r="M9" s="19"/>
      <c r="N9" s="19"/>
      <c r="O9" s="19"/>
      <c r="P9" s="19"/>
      <c r="Q9" s="19"/>
      <c r="R9" s="19"/>
      <c r="S9" s="19"/>
    </row>
    <row r="10" spans="1:19" x14ac:dyDescent="0.35">
      <c r="A10" s="111"/>
      <c r="B10" s="111"/>
      <c r="C10" s="109" t="s">
        <v>3</v>
      </c>
      <c r="D10" s="109" t="s">
        <v>4</v>
      </c>
      <c r="E10" s="110" t="s">
        <v>26</v>
      </c>
      <c r="F10" s="110"/>
      <c r="G10" s="110" t="s">
        <v>27</v>
      </c>
      <c r="H10" s="110"/>
      <c r="I10" s="112"/>
      <c r="J10" s="108"/>
      <c r="K10" s="19"/>
      <c r="L10" s="19"/>
      <c r="M10" s="19"/>
      <c r="N10" s="19"/>
      <c r="O10" s="19"/>
      <c r="P10" s="19"/>
      <c r="Q10" s="19"/>
      <c r="R10" s="19"/>
      <c r="S10" s="19"/>
    </row>
    <row r="11" spans="1:19" x14ac:dyDescent="0.35">
      <c r="A11" s="111"/>
      <c r="B11" s="111"/>
      <c r="C11" s="109"/>
      <c r="D11" s="109"/>
      <c r="E11" s="72" t="s">
        <v>28</v>
      </c>
      <c r="F11" s="72" t="s">
        <v>4</v>
      </c>
      <c r="G11" s="72" t="s">
        <v>28</v>
      </c>
      <c r="H11" s="72" t="s">
        <v>4</v>
      </c>
      <c r="I11" s="112"/>
      <c r="J11" s="108"/>
      <c r="K11" s="27"/>
      <c r="L11" s="19"/>
      <c r="M11" s="19"/>
      <c r="N11" s="19"/>
      <c r="O11" s="19"/>
      <c r="P11" s="19"/>
      <c r="Q11" s="19"/>
      <c r="R11" s="19"/>
      <c r="S11" s="19"/>
    </row>
    <row r="12" spans="1:19" s="8" customFormat="1" ht="43.5" hidden="1" x14ac:dyDescent="0.35">
      <c r="A12" s="28" t="s">
        <v>0</v>
      </c>
      <c r="B12" s="29" t="s">
        <v>1</v>
      </c>
      <c r="C12" s="29" t="s">
        <v>3</v>
      </c>
      <c r="D12" s="29" t="s">
        <v>4</v>
      </c>
      <c r="E12" s="29" t="s">
        <v>8</v>
      </c>
      <c r="F12" s="29" t="s">
        <v>9</v>
      </c>
      <c r="G12" s="29" t="s">
        <v>10</v>
      </c>
      <c r="H12" s="29" t="s">
        <v>11</v>
      </c>
      <c r="I12" s="30" t="s">
        <v>21</v>
      </c>
      <c r="J12" s="29" t="s">
        <v>12</v>
      </c>
      <c r="K12" s="29" t="s">
        <v>18</v>
      </c>
      <c r="L12" s="29" t="s">
        <v>19</v>
      </c>
      <c r="M12" s="29" t="s">
        <v>17</v>
      </c>
      <c r="N12" s="29" t="s">
        <v>32</v>
      </c>
      <c r="O12" s="29" t="s">
        <v>20</v>
      </c>
      <c r="P12" s="29" t="s">
        <v>5</v>
      </c>
      <c r="Q12" s="29" t="s">
        <v>33</v>
      </c>
      <c r="R12" s="31" t="s">
        <v>6</v>
      </c>
      <c r="S12" s="31" t="s">
        <v>34</v>
      </c>
    </row>
    <row r="13" spans="1:19" x14ac:dyDescent="0.35">
      <c r="A13" s="5"/>
      <c r="B13" s="1"/>
      <c r="C13" s="2"/>
      <c r="D13" s="2"/>
      <c r="E13" s="3"/>
      <c r="F13" s="3"/>
      <c r="G13" s="3"/>
      <c r="H13" s="3"/>
      <c r="I13" s="32">
        <f>0.1*(Horaires3567310[[#This Row],[Heures de nuit]]+Horaires3567310[[#This Row],[heures jour dimanche]]+Horaires3567310[[#This Row],[heures jour fériés]])</f>
        <v>0</v>
      </c>
      <c r="J13" s="33">
        <f>(MOD(Horaires3567310[[#This Row],[Fin]]-Horaires3567310[[#This Row],[début]],1)-MOD(Horaires3567310[[#This Row],[PNP Fin]]-Horaires3567310[[#This Row],[PNP Début]],1))*24</f>
        <v>0</v>
      </c>
      <c r="K13" s="34">
        <f>IF(Horaires3567310[[#This Row],[PNP Début]]=0,0,IF(Horaires3567310[[#This Row],[PNP Début]]&lt;Horaires3567310[[#This Row],[début]],1,0)+Horaires3567310[[#This Row],[PNP Début]])</f>
        <v>0</v>
      </c>
      <c r="L13" s="34">
        <f>IF(Horaires3567310[[#This Row],[PNP Fin]]=0,0,IF(Horaires3567310[[#This Row],[PNP Fin]]&lt;Horaires3567310[[#This Row],[début]],1,0)+Horaires3567310[[#This Row],[PNP Fin]])</f>
        <v>0</v>
      </c>
      <c r="M13" s="34">
        <f>IF(Horaires3567310[[#This Row],[Fin]]&lt;Horaires3567310[[#This Row],[début]],1,0)+Horaires3567310[[#This Row],[Fin]]</f>
        <v>0</v>
      </c>
      <c r="N13" s="35">
        <f>IF(Horaires3567310[[#This Row],[Fin]]&lt;Horaires3567310[[#This Row],[début]],MAX(0,MIN(Horaires3567310[[#This Row],[Fin corrigée si nuit]],fin_nuit)-MAX(Horaires3567310[[#This Row],[début]],deb_nuit))*24,(MAX(deb_nuit,Horaires3567310[[#This Row],[Fin]])-MAX(deb_nuit,Horaires3567310[[#This Row],[début]])+MAX(MIN(fin_nuit-1,Horaires3567310[[#This Row],[Fin]])-MIN(fin_nuit-1,Horaires3567310[[#This Row],[début]]),0))*24)</f>
        <v>0</v>
      </c>
      <c r="O13" s="35">
        <f>(MAX(0,MIN(Horaires3567310[[#This Row],[Fin corrigée si nuit]],fin_nuit)-MAX(Horaires3567310[[#This Row],[début]],deb_nuit))-IF(Horaires3567310[[#This Row],[PNP Début]]=0,0,MIN(Horaires3567310[[#This Row],[PNP Fin corrigée]],fin_nuit)-MAX(Horaires3567310[[#This Row],[PNP Début corrigé]],deb_nuit)))*24</f>
        <v>0</v>
      </c>
      <c r="P13" s="35">
        <f>(IF(WEEKDAY(Horaires3567310[[#This Row],[Date]],2)=7,MAX(0,MIN(fin_dimJF,Horaires3567310[[#This Row],[Fin corrigée si nuit]])-MAX(deb_dimJF,Horaires3567310[[#This Row],[début]])),0)+IF(WEEKDAY(Horaires3567310[[#This Row],[Date]],2)=6,MAX(0,Horaires3567310[[#This Row],[Fin corrigée si nuit]]-(1+deb_dimJF)),0))*24</f>
        <v>0</v>
      </c>
      <c r="Q13" s="35">
        <f>(IF(WEEKDAY(Horaires3567310[[#This Row],[Date]],2)=7,MAX(0,MIN(fin_dimJF,Horaires3567310[[#This Row],[Fin corrigée si nuit]])-MAX(deb_dimJF,Horaires3567310[[#This Row],[début]])),0)+IF(WEEKDAY(Horaires3567310[[#This Row],[Date]],2)=6,MAX(0,Horaires3567310[[#This Row],[Fin corrigée si nuit]]-(1+deb_dimJF)),0))*24-
(IF(WEEKDAY(Horaires3567310[[#This Row],[Date]],2)=7,MAX(0,MIN(fin_dimJF,Horaires3567310[[#This Row],[PNP Fin corrigée]])-MAX(deb_dimJF,Horaires3567310[[#This Row],[PNP Début corrigé]])),0)+IF(WEEKDAY(Horaires3567310[[#This Row],[Date]],2)=6,MAX(0,Horaires3567310[[#This Row],[PNP Fin corrigée]]-(1+deb_dimJF)),0))*24</f>
        <v>0</v>
      </c>
      <c r="R13" s="36">
        <f>(IF(COUNTIF(JF,Horaires3567310[[#This Row],[Date]]),MAX(0,MIN(fin_dimJF,Horaires3567310[[#This Row],[Fin corrigée si nuit]])-MAX(deb_dimJF,Horaires3567310[[#This Row],[début]])),0)+IF(COUNTIF(JF,Horaires3567310[[#This Row],[Date]]+1),MAX(0,Horaires3567310[[#This Row],[Fin corrigée si nuit]]-(1+deb_dimJF)),0))*24</f>
        <v>0</v>
      </c>
      <c r="S13" s="36">
        <f>(IF(COUNTIF(JF,Horaires3567310[[#This Row],[Date]]),MAX(0,MIN(fin_dimJF,Horaires3567310[[#This Row],[Fin corrigée si nuit]])-MAX(deb_dimJF,Horaires3567310[[#This Row],[début]])),0)+IF(COUNTIF(JF,Horaires3567310[[#This Row],[Date]]+1),MAX(0,Horaires3567310[[#This Row],[Fin corrigée si nuit]]-(1+deb_dimJF)),0))*24-
(IF(COUNTIF(JF,Horaires3567310[[#This Row],[Date]]),MAX(0,MIN(fin_dimJF,Horaires3567310[[#This Row],[PNP Fin corrigée]])-MAX(deb_dimJF,Horaires3567310[[#This Row],[PNP Début corrigé]])),0)+IF(COUNTIF(JF,Horaires3567310[[#This Row],[Date]]+1),MAX(0,Horaires3567310[[#This Row],[PNP Fin corrigée]]-(1+deb_dimJF)),0))*24</f>
        <v>0</v>
      </c>
    </row>
    <row r="14" spans="1:19" x14ac:dyDescent="0.35">
      <c r="A14" s="5"/>
      <c r="B14" s="1"/>
      <c r="C14" s="2"/>
      <c r="D14" s="2"/>
      <c r="E14" s="3"/>
      <c r="F14" s="3"/>
      <c r="G14" s="3"/>
      <c r="H14" s="3"/>
      <c r="I14" s="32">
        <f>0.1*(Horaires3567310[[#This Row],[Heures de nuit]]+Horaires3567310[[#This Row],[heures jour dimanche]]+Horaires3567310[[#This Row],[heures jour fériés]])</f>
        <v>0</v>
      </c>
      <c r="J14" s="33">
        <f>(MOD(Horaires3567310[[#This Row],[Fin]]-Horaires3567310[[#This Row],[début]],1)-MOD(Horaires3567310[[#This Row],[PNP Fin]]-Horaires3567310[[#This Row],[PNP Début]],1))*24</f>
        <v>0</v>
      </c>
      <c r="K14" s="34">
        <f>IF(Horaires3567310[[#This Row],[PNP Début]]=0,0,IF(Horaires3567310[[#This Row],[PNP Début]]&lt;Horaires3567310[[#This Row],[début]],1,0)+Horaires3567310[[#This Row],[PNP Début]])</f>
        <v>0</v>
      </c>
      <c r="L14" s="34">
        <f>IF(Horaires3567310[[#This Row],[PNP Fin]]=0,0,IF(Horaires3567310[[#This Row],[PNP Fin]]&lt;Horaires3567310[[#This Row],[début]],1,0)+Horaires3567310[[#This Row],[PNP Fin]])</f>
        <v>0</v>
      </c>
      <c r="M14" s="34">
        <f>IF(Horaires3567310[[#This Row],[Fin]]&lt;Horaires3567310[[#This Row],[début]],1,0)+Horaires3567310[[#This Row],[Fin]]</f>
        <v>0</v>
      </c>
      <c r="N14" s="35">
        <f>IF(Horaires3567310[[#This Row],[Fin]]&lt;Horaires3567310[[#This Row],[début]],MAX(0,MIN(Horaires3567310[[#This Row],[Fin corrigée si nuit]],fin_nuit)-MAX(Horaires3567310[[#This Row],[début]],deb_nuit))*24,(MAX(deb_nuit,Horaires3567310[[#This Row],[Fin]])-MAX(deb_nuit,Horaires3567310[[#This Row],[début]])+MAX(MIN(fin_nuit-1,Horaires3567310[[#This Row],[Fin]])-MIN(fin_nuit-1,Horaires3567310[[#This Row],[début]]),0))*24)</f>
        <v>0</v>
      </c>
      <c r="O14" s="35">
        <f>(MAX(0,MIN(Horaires3567310[[#This Row],[Fin corrigée si nuit]],fin_nuit)-MAX(Horaires3567310[[#This Row],[début]],deb_nuit))-IF(Horaires3567310[[#This Row],[PNP Début]]=0,0,MIN(Horaires3567310[[#This Row],[PNP Fin corrigée]],fin_nuit)-MAX(Horaires3567310[[#This Row],[PNP Début corrigé]],deb_nuit)))*24</f>
        <v>0</v>
      </c>
      <c r="P14" s="35">
        <f>(IF(WEEKDAY(Horaires3567310[[#This Row],[Date]],2)=7,MAX(0,MIN(fin_dimJF,Horaires3567310[[#This Row],[Fin corrigée si nuit]])-MAX(deb_dimJF,Horaires3567310[[#This Row],[début]])),0)+IF(WEEKDAY(Horaires3567310[[#This Row],[Date]],2)=6,MAX(0,Horaires3567310[[#This Row],[Fin corrigée si nuit]]-(1+deb_dimJF)),0))*24</f>
        <v>0</v>
      </c>
      <c r="Q14" s="35">
        <f>(IF(WEEKDAY(Horaires3567310[[#This Row],[Date]],2)=7,MAX(0,MIN(fin_dimJF,Horaires3567310[[#This Row],[Fin corrigée si nuit]])-MAX(deb_dimJF,Horaires3567310[[#This Row],[début]])),0)+IF(WEEKDAY(Horaires3567310[[#This Row],[Date]],2)=6,MAX(0,Horaires3567310[[#This Row],[Fin corrigée si nuit]]-(1+deb_dimJF)),0))*24-
(IF(WEEKDAY(Horaires3567310[[#This Row],[Date]],2)=7,MAX(0,MIN(fin_dimJF,Horaires3567310[[#This Row],[PNP Fin corrigée]])-MAX(deb_dimJF,Horaires3567310[[#This Row],[PNP Début corrigé]])),0)+IF(WEEKDAY(Horaires3567310[[#This Row],[Date]],2)=6,MAX(0,Horaires3567310[[#This Row],[PNP Fin corrigée]]-(1+deb_dimJF)),0))*24</f>
        <v>0</v>
      </c>
      <c r="R14" s="36">
        <f>(IF(COUNTIF(JF,Horaires3567310[[#This Row],[Date]]),MAX(0,MIN(fin_dimJF,Horaires3567310[[#This Row],[Fin corrigée si nuit]])-MAX(deb_dimJF,Horaires3567310[[#This Row],[début]])),0)+IF(COUNTIF(JF,Horaires3567310[[#This Row],[Date]]+1),MAX(0,Horaires3567310[[#This Row],[Fin corrigée si nuit]]-(1+deb_dimJF)),0))*24</f>
        <v>0</v>
      </c>
      <c r="S14" s="36">
        <f>(IF(COUNTIF(JF,Horaires3567310[[#This Row],[Date]]),MAX(0,MIN(fin_dimJF,Horaires3567310[[#This Row],[Fin corrigée si nuit]])-MAX(deb_dimJF,Horaires3567310[[#This Row],[début]])),0)+IF(COUNTIF(JF,Horaires3567310[[#This Row],[Date]]+1),MAX(0,Horaires3567310[[#This Row],[Fin corrigée si nuit]]-(1+deb_dimJF)),0))*24-
(IF(COUNTIF(JF,Horaires3567310[[#This Row],[Date]]),MAX(0,MIN(fin_dimJF,Horaires3567310[[#This Row],[PNP Fin corrigée]])-MAX(deb_dimJF,Horaires3567310[[#This Row],[PNP Début corrigé]])),0)+IF(COUNTIF(JF,Horaires3567310[[#This Row],[Date]]+1),MAX(0,Horaires3567310[[#This Row],[PNP Fin corrigée]]-(1+deb_dimJF)),0))*24</f>
        <v>0</v>
      </c>
    </row>
    <row r="15" spans="1:19" x14ac:dyDescent="0.35">
      <c r="A15" s="5"/>
      <c r="B15" s="1"/>
      <c r="C15" s="2"/>
      <c r="D15" s="2"/>
      <c r="E15" s="3"/>
      <c r="F15" s="3"/>
      <c r="G15" s="3"/>
      <c r="H15" s="3"/>
      <c r="I15" s="32">
        <f>0.1*(Horaires3567310[[#This Row],[Heures de nuit]]+Horaires3567310[[#This Row],[heures jour dimanche]]+Horaires3567310[[#This Row],[heures jour fériés]])</f>
        <v>0</v>
      </c>
      <c r="J15" s="33">
        <f>(MOD(Horaires3567310[[#This Row],[Fin]]-Horaires3567310[[#This Row],[début]],1)-MOD(Horaires3567310[[#This Row],[PNP Fin]]-Horaires3567310[[#This Row],[PNP Début]],1))*24</f>
        <v>0</v>
      </c>
      <c r="K15" s="34">
        <f>IF(Horaires3567310[[#This Row],[PNP Début]]=0,0,IF(Horaires3567310[[#This Row],[PNP Début]]&lt;Horaires3567310[[#This Row],[début]],1,0)+Horaires3567310[[#This Row],[PNP Début]])</f>
        <v>0</v>
      </c>
      <c r="L15" s="34">
        <f>IF(Horaires3567310[[#This Row],[PNP Fin]]=0,0,IF(Horaires3567310[[#This Row],[PNP Fin]]&lt;Horaires3567310[[#This Row],[début]],1,0)+Horaires3567310[[#This Row],[PNP Fin]])</f>
        <v>0</v>
      </c>
      <c r="M15" s="34">
        <f>IF(Horaires3567310[[#This Row],[Fin]]&lt;Horaires3567310[[#This Row],[début]],1,0)+Horaires3567310[[#This Row],[Fin]]</f>
        <v>0</v>
      </c>
      <c r="N15" s="35">
        <f>IF(Horaires3567310[[#This Row],[Fin]]&lt;Horaires3567310[[#This Row],[début]],MAX(0,MIN(Horaires3567310[[#This Row],[Fin corrigée si nuit]],fin_nuit)-MAX(Horaires3567310[[#This Row],[début]],deb_nuit))*24,(MAX(deb_nuit,Horaires3567310[[#This Row],[Fin]])-MAX(deb_nuit,Horaires3567310[[#This Row],[début]])+MAX(MIN(fin_nuit-1,Horaires3567310[[#This Row],[Fin]])-MIN(fin_nuit-1,Horaires3567310[[#This Row],[début]]),0))*24)</f>
        <v>0</v>
      </c>
      <c r="O15" s="35">
        <f>(MAX(0,MIN(Horaires3567310[[#This Row],[Fin corrigée si nuit]],fin_nuit)-MAX(Horaires3567310[[#This Row],[début]],deb_nuit))-IF(Horaires3567310[[#This Row],[PNP Début]]=0,0,MIN(Horaires3567310[[#This Row],[PNP Fin corrigée]],fin_nuit)-MAX(Horaires3567310[[#This Row],[PNP Début corrigé]],deb_nuit)))*24</f>
        <v>0</v>
      </c>
      <c r="P15" s="35">
        <f>(IF(WEEKDAY(Horaires3567310[[#This Row],[Date]],2)=7,MAX(0,MIN(fin_dimJF,Horaires3567310[[#This Row],[Fin corrigée si nuit]])-MAX(deb_dimJF,Horaires3567310[[#This Row],[début]])),0)+IF(WEEKDAY(Horaires3567310[[#This Row],[Date]],2)=6,MAX(0,Horaires3567310[[#This Row],[Fin corrigée si nuit]]-(1+deb_dimJF)),0))*24</f>
        <v>0</v>
      </c>
      <c r="Q15" s="35">
        <f>(IF(WEEKDAY(Horaires3567310[[#This Row],[Date]],2)=7,MAX(0,MIN(fin_dimJF,Horaires3567310[[#This Row],[Fin corrigée si nuit]])-MAX(deb_dimJF,Horaires3567310[[#This Row],[début]])),0)+IF(WEEKDAY(Horaires3567310[[#This Row],[Date]],2)=6,MAX(0,Horaires3567310[[#This Row],[Fin corrigée si nuit]]-(1+deb_dimJF)),0))*24-
(IF(WEEKDAY(Horaires3567310[[#This Row],[Date]],2)=7,MAX(0,MIN(fin_dimJF,Horaires3567310[[#This Row],[PNP Fin corrigée]])-MAX(deb_dimJF,Horaires3567310[[#This Row],[PNP Début corrigé]])),0)+IF(WEEKDAY(Horaires3567310[[#This Row],[Date]],2)=6,MAX(0,Horaires3567310[[#This Row],[PNP Fin corrigée]]-(1+deb_dimJF)),0))*24</f>
        <v>0</v>
      </c>
      <c r="R15" s="36">
        <f>(IF(COUNTIF(JF,Horaires3567310[[#This Row],[Date]]),MAX(0,MIN(fin_dimJF,Horaires3567310[[#This Row],[Fin corrigée si nuit]])-MAX(deb_dimJF,Horaires3567310[[#This Row],[début]])),0)+IF(COUNTIF(JF,Horaires3567310[[#This Row],[Date]]+1),MAX(0,Horaires3567310[[#This Row],[Fin corrigée si nuit]]-(1+deb_dimJF)),0))*24</f>
        <v>0</v>
      </c>
      <c r="S15" s="36">
        <f>(IF(COUNTIF(JF,Horaires3567310[[#This Row],[Date]]),MAX(0,MIN(fin_dimJF,Horaires3567310[[#This Row],[Fin corrigée si nuit]])-MAX(deb_dimJF,Horaires3567310[[#This Row],[début]])),0)+IF(COUNTIF(JF,Horaires3567310[[#This Row],[Date]]+1),MAX(0,Horaires3567310[[#This Row],[Fin corrigée si nuit]]-(1+deb_dimJF)),0))*24-
(IF(COUNTIF(JF,Horaires3567310[[#This Row],[Date]]),MAX(0,MIN(fin_dimJF,Horaires3567310[[#This Row],[PNP Fin corrigée]])-MAX(deb_dimJF,Horaires3567310[[#This Row],[PNP Début corrigé]])),0)+IF(COUNTIF(JF,Horaires3567310[[#This Row],[Date]]+1),MAX(0,Horaires3567310[[#This Row],[PNP Fin corrigée]]-(1+deb_dimJF)),0))*24</f>
        <v>0</v>
      </c>
    </row>
    <row r="16" spans="1:19" x14ac:dyDescent="0.35">
      <c r="A16" s="5"/>
      <c r="B16" s="6"/>
      <c r="C16" s="2"/>
      <c r="D16" s="2"/>
      <c r="E16" s="3"/>
      <c r="F16" s="3"/>
      <c r="G16" s="7"/>
      <c r="H16" s="7"/>
      <c r="I16" s="32">
        <f>0.1*(Horaires3567310[[#This Row],[Heures de nuit]]+Horaires3567310[[#This Row],[heures jour dimanche]]+Horaires3567310[[#This Row],[heures jour fériés]])</f>
        <v>0</v>
      </c>
      <c r="J16" s="37">
        <f>(MOD(Horaires3567310[[#This Row],[Fin]]-Horaires3567310[[#This Row],[début]],1)-MOD(Horaires3567310[[#This Row],[PNP Fin]]-Horaires3567310[[#This Row],[PNP Début]],1))*24</f>
        <v>0</v>
      </c>
      <c r="K16" s="34">
        <f>IF(Horaires3567310[[#This Row],[PNP Début]]=0,0,IF(Horaires3567310[[#This Row],[PNP Début]]&lt;Horaires3567310[[#This Row],[début]],1,0)+Horaires3567310[[#This Row],[PNP Début]])</f>
        <v>0</v>
      </c>
      <c r="L16" s="34">
        <f>IF(Horaires3567310[[#This Row],[PNP Fin]]=0,0,IF(Horaires3567310[[#This Row],[PNP Fin]]&lt;Horaires3567310[[#This Row],[début]],1,0)+Horaires3567310[[#This Row],[PNP Fin]])</f>
        <v>0</v>
      </c>
      <c r="M16" s="38">
        <f>IF(Horaires3567310[[#This Row],[Fin]]&lt;Horaires3567310[[#This Row],[début]],1,0)+Horaires3567310[[#This Row],[Fin]]</f>
        <v>0</v>
      </c>
      <c r="N16" s="35">
        <f>IF(Horaires3567310[[#This Row],[Fin]]&lt;Horaires3567310[[#This Row],[début]],MAX(0,MIN(Horaires3567310[[#This Row],[Fin corrigée si nuit]],fin_nuit)-MAX(Horaires3567310[[#This Row],[début]],deb_nuit))*24,(MAX(deb_nuit,Horaires3567310[[#This Row],[Fin]])-MAX(deb_nuit,Horaires3567310[[#This Row],[début]])+MAX(MIN(fin_nuit-1,Horaires3567310[[#This Row],[Fin]])-MIN(fin_nuit-1,Horaires3567310[[#This Row],[début]]),0))*24)</f>
        <v>0</v>
      </c>
      <c r="O16" s="39">
        <f>(MAX(0,MIN(Horaires3567310[[#This Row],[Fin corrigée si nuit]],fin_nuit)-MAX(Horaires3567310[[#This Row],[début]],deb_nuit))-IF(Horaires3567310[[#This Row],[PNP Début]]=0,0,MIN(Horaires3567310[[#This Row],[PNP Fin corrigée]],fin_nuit)-MAX(Horaires3567310[[#This Row],[PNP Début corrigé]],deb_nuit)))*24</f>
        <v>0</v>
      </c>
      <c r="P16" s="39">
        <f>(IF(WEEKDAY(Horaires3567310[[#This Row],[Date]],2)=7,MAX(0,MIN(fin_dimJF,Horaires3567310[[#This Row],[Fin corrigée si nuit]])-MAX(deb_dimJF,Horaires3567310[[#This Row],[début]])),0)+IF(WEEKDAY(Horaires3567310[[#This Row],[Date]],2)=6,MAX(0,Horaires3567310[[#This Row],[Fin corrigée si nuit]]-(1+deb_dimJF)),0))*24</f>
        <v>0</v>
      </c>
      <c r="Q16" s="35">
        <f>(IF(WEEKDAY(Horaires3567310[[#This Row],[Date]],2)=7,MAX(0,MIN(fin_dimJF,Horaires3567310[[#This Row],[Fin corrigée si nuit]])-MAX(deb_dimJF,Horaires3567310[[#This Row],[début]])),0)+IF(WEEKDAY(Horaires3567310[[#This Row],[Date]],2)=6,MAX(0,Horaires3567310[[#This Row],[Fin corrigée si nuit]]-(1+deb_dimJF)),0))*24-
(IF(WEEKDAY(Horaires3567310[[#This Row],[Date]],2)=7,MAX(0,MIN(fin_dimJF,Horaires3567310[[#This Row],[PNP Fin corrigée]])-MAX(deb_dimJF,Horaires3567310[[#This Row],[PNP Début corrigé]])),0)+IF(WEEKDAY(Horaires3567310[[#This Row],[Date]],2)=6,MAX(0,Horaires3567310[[#This Row],[PNP Fin corrigée]]-(1+deb_dimJF)),0))*24</f>
        <v>0</v>
      </c>
      <c r="R16" s="40">
        <f>(IF(COUNTIF(JF,Horaires3567310[[#This Row],[Date]]),MAX(0,MIN(fin_dimJF,Horaires3567310[[#This Row],[Fin corrigée si nuit]])-MAX(deb_dimJF,Horaires3567310[[#This Row],[début]])),0)+IF(COUNTIF(JF,Horaires3567310[[#This Row],[Date]]+1),MAX(0,Horaires3567310[[#This Row],[Fin corrigée si nuit]]-(1+deb_dimJF)),0))*24</f>
        <v>0</v>
      </c>
      <c r="S16" s="40">
        <f>(IF(COUNTIF(JF,Horaires3567310[[#This Row],[Date]]),MAX(0,MIN(fin_dimJF,Horaires3567310[[#This Row],[Fin corrigée si nuit]])-MAX(deb_dimJF,Horaires3567310[[#This Row],[début]])),0)+IF(COUNTIF(JF,Horaires3567310[[#This Row],[Date]]+1),MAX(0,Horaires3567310[[#This Row],[Fin corrigée si nuit]]-(1+deb_dimJF)),0))*24-
(IF(COUNTIF(JF,Horaires3567310[[#This Row],[Date]]),MAX(0,MIN(fin_dimJF,Horaires3567310[[#This Row],[PNP Fin corrigée]])-MAX(deb_dimJF,Horaires3567310[[#This Row],[PNP Début corrigé]])),0)+IF(COUNTIF(JF,Horaires3567310[[#This Row],[Date]]+1),MAX(0,Horaires3567310[[#This Row],[PNP Fin corrigée]]-(1+deb_dimJF)),0))*24</f>
        <v>0</v>
      </c>
    </row>
    <row r="17" spans="1:19" x14ac:dyDescent="0.35">
      <c r="A17" s="5"/>
      <c r="B17" s="1"/>
      <c r="C17" s="2"/>
      <c r="D17" s="2"/>
      <c r="E17" s="3"/>
      <c r="F17" s="3"/>
      <c r="G17" s="12"/>
      <c r="H17" s="12"/>
      <c r="I17" s="41">
        <f>0.1*(Horaires3567310[[#This Row],[Heures de nuit]]+Horaires3567310[[#This Row],[heures jour dimanche]]+Horaires3567310[[#This Row],[heures jour fériés]])</f>
        <v>0</v>
      </c>
      <c r="J17" s="42">
        <f>(MOD(Horaires3567310[[#This Row],[Fin]]-Horaires3567310[[#This Row],[début]],1)-MOD(Horaires3567310[[#This Row],[PNP Fin]]-Horaires3567310[[#This Row],[PNP Début]],1))*24</f>
        <v>0</v>
      </c>
      <c r="K17" s="43">
        <f>IF(Horaires3567310[[#This Row],[PNP Début]]=0,0,IF(Horaires3567310[[#This Row],[PNP Début]]&lt;Horaires3567310[[#This Row],[début]],1,0)+Horaires3567310[[#This Row],[PNP Début]])</f>
        <v>0</v>
      </c>
      <c r="L17" s="44">
        <f>IF(Horaires3567310[[#This Row],[PNP Fin]]=0,0,IF(Horaires3567310[[#This Row],[PNP Fin]]&lt;Horaires3567310[[#This Row],[début]],1,0)+Horaires3567310[[#This Row],[PNP Fin]])</f>
        <v>0</v>
      </c>
      <c r="M17" s="44">
        <f>IF(Horaires3567310[[#This Row],[Fin]]&lt;Horaires3567310[[#This Row],[début]],1,0)+Horaires3567310[[#This Row],[Fin]]</f>
        <v>0</v>
      </c>
      <c r="N17" s="35">
        <f>IF(Horaires3567310[[#This Row],[Fin]]&lt;Horaires3567310[[#This Row],[début]],MAX(0,MIN(Horaires3567310[[#This Row],[Fin corrigée si nuit]],fin_nuit)-MAX(Horaires3567310[[#This Row],[début]],deb_nuit))*24,(MAX(deb_nuit,Horaires3567310[[#This Row],[Fin]])-MAX(deb_nuit,Horaires3567310[[#This Row],[début]])+MAX(MIN(fin_nuit-1,Horaires3567310[[#This Row],[Fin]])-MIN(fin_nuit-1,Horaires3567310[[#This Row],[début]]),0))*24)</f>
        <v>0</v>
      </c>
      <c r="O17" s="45">
        <f>(MAX(0,MIN(Horaires3567310[[#This Row],[Fin corrigée si nuit]],fin_nuit)-MAX(Horaires3567310[[#This Row],[début]],deb_nuit))-IF(Horaires3567310[[#This Row],[PNP Début]]=0,0,MIN(Horaires3567310[[#This Row],[PNP Fin corrigée]],fin_nuit)-MAX(Horaires3567310[[#This Row],[PNP Début corrigé]],deb_nuit)))*24</f>
        <v>0</v>
      </c>
      <c r="P17" s="45">
        <f>(IF(WEEKDAY(Horaires3567310[[#This Row],[Date]],2)=7,MAX(0,MIN(fin_dimJF,Horaires3567310[[#This Row],[Fin corrigée si nuit]])-MAX(deb_dimJF,Horaires3567310[[#This Row],[début]])),0)+IF(WEEKDAY(Horaires3567310[[#This Row],[Date]],2)=6,MAX(0,Horaires3567310[[#This Row],[Fin corrigée si nuit]]-(1+deb_dimJF)),0))*24</f>
        <v>0</v>
      </c>
      <c r="Q17" s="45">
        <f>(IF(WEEKDAY(Horaires3567310[[#This Row],[Date]],2)=7,MAX(0,MIN(fin_dimJF,Horaires3567310[[#This Row],[Fin corrigée si nuit]])-MAX(deb_dimJF,Horaires3567310[[#This Row],[début]])),0)+IF(WEEKDAY(Horaires3567310[[#This Row],[Date]],2)=6,MAX(0,Horaires3567310[[#This Row],[Fin corrigée si nuit]]-(1+deb_dimJF)),0))*24-
(IF(WEEKDAY(Horaires3567310[[#This Row],[Date]],2)=7,MAX(0,MIN(fin_dimJF,Horaires3567310[[#This Row],[PNP Fin corrigée]])-MAX(deb_dimJF,Horaires3567310[[#This Row],[PNP Début corrigé]])),0)+IF(WEEKDAY(Horaires3567310[[#This Row],[Date]],2)=6,MAX(0,Horaires3567310[[#This Row],[PNP Fin corrigée]]-(1+deb_dimJF)),0))*24</f>
        <v>0</v>
      </c>
      <c r="R17" s="45">
        <f>(IF(COUNTIF(JF,Horaires3567310[[#This Row],[Date]]),MAX(0,MIN(fin_dimJF,Horaires3567310[[#This Row],[Fin corrigée si nuit]])-MAX(deb_dimJF,Horaires3567310[[#This Row],[début]])),0)+IF(COUNTIF(JF,Horaires3567310[[#This Row],[Date]]+1),MAX(0,Horaires3567310[[#This Row],[Fin corrigée si nuit]]-(1+deb_dimJF)),0))*24</f>
        <v>0</v>
      </c>
      <c r="S17" s="45">
        <f>(IF(COUNTIF(JF,Horaires3567310[[#This Row],[Date]]),MAX(0,MIN(fin_dimJF,Horaires3567310[[#This Row],[Fin corrigée si nuit]])-MAX(deb_dimJF,Horaires3567310[[#This Row],[début]])),0)+IF(COUNTIF(JF,Horaires3567310[[#This Row],[Date]]+1),MAX(0,Horaires3567310[[#This Row],[Fin corrigée si nuit]]-(1+deb_dimJF)),0))*24-
(IF(COUNTIF(JF,Horaires3567310[[#This Row],[Date]]),MAX(0,MIN(fin_dimJF,Horaires3567310[[#This Row],[PNP Fin corrigée]])-MAX(deb_dimJF,Horaires3567310[[#This Row],[PNP Début corrigé]])),0)+IF(COUNTIF(JF,Horaires3567310[[#This Row],[Date]]+1),MAX(0,Horaires3567310[[#This Row],[PNP Fin corrigée]]-(1+deb_dimJF)),0))*24</f>
        <v>0</v>
      </c>
    </row>
    <row r="18" spans="1:19" x14ac:dyDescent="0.35">
      <c r="A18" s="5"/>
      <c r="B18" s="60"/>
      <c r="C18" s="11"/>
      <c r="D18" s="11"/>
      <c r="E18" s="12"/>
      <c r="F18" s="12"/>
      <c r="G18" s="12"/>
      <c r="H18" s="12"/>
      <c r="I18" s="41">
        <f>0.1*(Horaires3567310[[#This Row],[Heures de nuit]]+Horaires3567310[[#This Row],[heures jour dimanche]]+Horaires3567310[[#This Row],[heures jour fériés]])</f>
        <v>0</v>
      </c>
      <c r="J18" s="42">
        <f>(MOD(Horaires3567310[[#This Row],[Fin]]-Horaires3567310[[#This Row],[début]],1)-MOD(Horaires3567310[[#This Row],[PNP Fin]]-Horaires3567310[[#This Row],[PNP Début]],1))*24</f>
        <v>0</v>
      </c>
      <c r="K18" s="43">
        <f>IF(Horaires3567310[[#This Row],[PNP Début]]=0,0,IF(Horaires3567310[[#This Row],[PNP Début]]&lt;Horaires3567310[[#This Row],[début]],1,0)+Horaires3567310[[#This Row],[PNP Début]])</f>
        <v>0</v>
      </c>
      <c r="L18" s="44">
        <f>IF(Horaires3567310[[#This Row],[PNP Fin]]=0,0,IF(Horaires3567310[[#This Row],[PNP Fin]]&lt;Horaires3567310[[#This Row],[début]],1,0)+Horaires3567310[[#This Row],[PNP Fin]])</f>
        <v>0</v>
      </c>
      <c r="M18" s="44">
        <f>IF(Horaires3567310[[#This Row],[Fin]]&lt;Horaires3567310[[#This Row],[début]],1,0)+Horaires3567310[[#This Row],[Fin]]</f>
        <v>0</v>
      </c>
      <c r="N18" s="35">
        <f>IF(Horaires3567310[[#This Row],[Fin]]&lt;Horaires3567310[[#This Row],[début]],MAX(0,MIN(Horaires3567310[[#This Row],[Fin corrigée si nuit]],fin_nuit)-MAX(Horaires3567310[[#This Row],[début]],deb_nuit))*24,(MAX(deb_nuit,Horaires3567310[[#This Row],[Fin]])-MAX(deb_nuit,Horaires3567310[[#This Row],[début]])+MAX(MIN(fin_nuit-1,Horaires3567310[[#This Row],[Fin]])-MIN(fin_nuit-1,Horaires3567310[[#This Row],[début]]),0))*24)</f>
        <v>0</v>
      </c>
      <c r="O18" s="45">
        <f>(MAX(0,MIN(Horaires3567310[[#This Row],[Fin corrigée si nuit]],fin_nuit)-MAX(Horaires3567310[[#This Row],[début]],deb_nuit))-IF(Horaires3567310[[#This Row],[PNP Début]]=0,0,MIN(Horaires3567310[[#This Row],[PNP Fin corrigée]],fin_nuit)-MAX(Horaires3567310[[#This Row],[PNP Début corrigé]],deb_nuit)))*24</f>
        <v>0</v>
      </c>
      <c r="P18" s="45">
        <f>(IF(WEEKDAY(Horaires3567310[[#This Row],[Date]],2)=7,MAX(0,MIN(fin_dimJF,Horaires3567310[[#This Row],[Fin corrigée si nuit]])-MAX(deb_dimJF,Horaires3567310[[#This Row],[début]])),0)+IF(WEEKDAY(Horaires3567310[[#This Row],[Date]],2)=6,MAX(0,Horaires3567310[[#This Row],[Fin corrigée si nuit]]-(1+deb_dimJF)),0))*24</f>
        <v>0</v>
      </c>
      <c r="Q18" s="45">
        <f>(IF(WEEKDAY(Horaires3567310[[#This Row],[Date]],2)=7,MAX(0,MIN(fin_dimJF,Horaires3567310[[#This Row],[Fin corrigée si nuit]])-MAX(deb_dimJF,Horaires3567310[[#This Row],[début]])),0)+IF(WEEKDAY(Horaires3567310[[#This Row],[Date]],2)=6,MAX(0,Horaires3567310[[#This Row],[Fin corrigée si nuit]]-(1+deb_dimJF)),0))*24-
(IF(WEEKDAY(Horaires3567310[[#This Row],[Date]],2)=7,MAX(0,MIN(fin_dimJF,Horaires3567310[[#This Row],[PNP Fin corrigée]])-MAX(deb_dimJF,Horaires3567310[[#This Row],[PNP Début corrigé]])),0)+IF(WEEKDAY(Horaires3567310[[#This Row],[Date]],2)=6,MAX(0,Horaires3567310[[#This Row],[PNP Fin corrigée]]-(1+deb_dimJF)),0))*24</f>
        <v>0</v>
      </c>
      <c r="R18" s="45">
        <f>(IF(COUNTIF(JF,Horaires3567310[[#This Row],[Date]]),MAX(0,MIN(fin_dimJF,Horaires3567310[[#This Row],[Fin corrigée si nuit]])-MAX(deb_dimJF,Horaires3567310[[#This Row],[début]])),0)+IF(COUNTIF(JF,Horaires3567310[[#This Row],[Date]]+1),MAX(0,Horaires3567310[[#This Row],[Fin corrigée si nuit]]-(1+deb_dimJF)),0))*24</f>
        <v>0</v>
      </c>
      <c r="S18" s="45">
        <f>(IF(COUNTIF(JF,Horaires3567310[[#This Row],[Date]]),MAX(0,MIN(fin_dimJF,Horaires3567310[[#This Row],[Fin corrigée si nuit]])-MAX(deb_dimJF,Horaires3567310[[#This Row],[début]])),0)+IF(COUNTIF(JF,Horaires3567310[[#This Row],[Date]]+1),MAX(0,Horaires3567310[[#This Row],[Fin corrigée si nuit]]-(1+deb_dimJF)),0))*24-
(IF(COUNTIF(JF,Horaires3567310[[#This Row],[Date]]),MAX(0,MIN(fin_dimJF,Horaires3567310[[#This Row],[PNP Fin corrigée]])-MAX(deb_dimJF,Horaires3567310[[#This Row],[PNP Début corrigé]])),0)+IF(COUNTIF(JF,Horaires3567310[[#This Row],[Date]]+1),MAX(0,Horaires3567310[[#This Row],[PNP Fin corrigée]]-(1+deb_dimJF)),0))*24</f>
        <v>0</v>
      </c>
    </row>
    <row r="19" spans="1:19" x14ac:dyDescent="0.35">
      <c r="A19" s="5"/>
      <c r="B19" s="1"/>
      <c r="C19" s="11"/>
      <c r="D19" s="11"/>
      <c r="E19" s="3"/>
      <c r="F19" s="3"/>
      <c r="G19" s="12"/>
      <c r="H19" s="12"/>
      <c r="I19" s="41">
        <f>0.1*(Horaires3567310[[#This Row],[Heures de nuit]]+Horaires3567310[[#This Row],[heures jour dimanche]]+Horaires3567310[[#This Row],[heures jour fériés]])</f>
        <v>0</v>
      </c>
      <c r="J19" s="42">
        <f>(MOD(Horaires3567310[[#This Row],[Fin]]-Horaires3567310[[#This Row],[début]],1)-MOD(Horaires3567310[[#This Row],[PNP Fin]]-Horaires3567310[[#This Row],[PNP Début]],1))*24</f>
        <v>0</v>
      </c>
      <c r="K19" s="43">
        <f>IF(Horaires3567310[[#This Row],[PNP Début]]=0,0,IF(Horaires3567310[[#This Row],[PNP Début]]&lt;Horaires3567310[[#This Row],[début]],1,0)+Horaires3567310[[#This Row],[PNP Début]])</f>
        <v>0</v>
      </c>
      <c r="L19" s="44">
        <f>IF(Horaires3567310[[#This Row],[PNP Fin]]=0,0,IF(Horaires3567310[[#This Row],[PNP Fin]]&lt;Horaires3567310[[#This Row],[début]],1,0)+Horaires3567310[[#This Row],[PNP Fin]])</f>
        <v>0</v>
      </c>
      <c r="M19" s="44">
        <f>IF(Horaires3567310[[#This Row],[Fin]]&lt;Horaires3567310[[#This Row],[début]],1,0)+Horaires3567310[[#This Row],[Fin]]</f>
        <v>0</v>
      </c>
      <c r="N19" s="35">
        <f>IF(Horaires3567310[[#This Row],[Fin]]&lt;Horaires3567310[[#This Row],[début]],MAX(0,MIN(Horaires3567310[[#This Row],[Fin corrigée si nuit]],fin_nuit)-MAX(Horaires3567310[[#This Row],[début]],deb_nuit))*24,(MAX(deb_nuit,Horaires3567310[[#This Row],[Fin]])-MAX(deb_nuit,Horaires3567310[[#This Row],[début]])+MAX(MIN(fin_nuit-1,Horaires3567310[[#This Row],[Fin]])-MIN(fin_nuit-1,Horaires3567310[[#This Row],[début]]),0))*24)</f>
        <v>0</v>
      </c>
      <c r="O19" s="45">
        <f>(MAX(0,MIN(Horaires3567310[[#This Row],[Fin corrigée si nuit]],fin_nuit)-MAX(Horaires3567310[[#This Row],[début]],deb_nuit))-IF(Horaires3567310[[#This Row],[PNP Début]]=0,0,MIN(Horaires3567310[[#This Row],[PNP Fin corrigée]],fin_nuit)-MAX(Horaires3567310[[#This Row],[PNP Début corrigé]],deb_nuit)))*24</f>
        <v>0</v>
      </c>
      <c r="P19" s="45">
        <f>(IF(WEEKDAY(Horaires3567310[[#This Row],[Date]],2)=7,MAX(0,MIN(fin_dimJF,Horaires3567310[[#This Row],[Fin corrigée si nuit]])-MAX(deb_dimJF,Horaires3567310[[#This Row],[début]])),0)+IF(WEEKDAY(Horaires3567310[[#This Row],[Date]],2)=6,MAX(0,Horaires3567310[[#This Row],[Fin corrigée si nuit]]-(1+deb_dimJF)),0))*24</f>
        <v>0</v>
      </c>
      <c r="Q19" s="45">
        <f>(IF(WEEKDAY(Horaires3567310[[#This Row],[Date]],2)=7,MAX(0,MIN(fin_dimJF,Horaires3567310[[#This Row],[Fin corrigée si nuit]])-MAX(deb_dimJF,Horaires3567310[[#This Row],[début]])),0)+IF(WEEKDAY(Horaires3567310[[#This Row],[Date]],2)=6,MAX(0,Horaires3567310[[#This Row],[Fin corrigée si nuit]]-(1+deb_dimJF)),0))*24-
(IF(WEEKDAY(Horaires3567310[[#This Row],[Date]],2)=7,MAX(0,MIN(fin_dimJF,Horaires3567310[[#This Row],[PNP Fin corrigée]])-MAX(deb_dimJF,Horaires3567310[[#This Row],[PNP Début corrigé]])),0)+IF(WEEKDAY(Horaires3567310[[#This Row],[Date]],2)=6,MAX(0,Horaires3567310[[#This Row],[PNP Fin corrigée]]-(1+deb_dimJF)),0))*24</f>
        <v>0</v>
      </c>
      <c r="R19" s="45">
        <f>(IF(COUNTIF(JF,Horaires3567310[[#This Row],[Date]]),MAX(0,MIN(fin_dimJF,Horaires3567310[[#This Row],[Fin corrigée si nuit]])-MAX(deb_dimJF,Horaires3567310[[#This Row],[début]])),0)+IF(COUNTIF(JF,Horaires3567310[[#This Row],[Date]]+1),MAX(0,Horaires3567310[[#This Row],[Fin corrigée si nuit]]-(1+deb_dimJF)),0))*24</f>
        <v>0</v>
      </c>
      <c r="S19" s="45">
        <f>(IF(COUNTIF(JF,Horaires3567310[[#This Row],[Date]]),MAX(0,MIN(fin_dimJF,Horaires3567310[[#This Row],[Fin corrigée si nuit]])-MAX(deb_dimJF,Horaires3567310[[#This Row],[début]])),0)+IF(COUNTIF(JF,Horaires3567310[[#This Row],[Date]]+1),MAX(0,Horaires3567310[[#This Row],[Fin corrigée si nuit]]-(1+deb_dimJF)),0))*24-
(IF(COUNTIF(JF,Horaires3567310[[#This Row],[Date]]),MAX(0,MIN(fin_dimJF,Horaires3567310[[#This Row],[PNP Fin corrigée]])-MAX(deb_dimJF,Horaires3567310[[#This Row],[PNP Début corrigé]])),0)+IF(COUNTIF(JF,Horaires3567310[[#This Row],[Date]]+1),MAX(0,Horaires3567310[[#This Row],[PNP Fin corrigée]]-(1+deb_dimJF)),0))*24</f>
        <v>0</v>
      </c>
    </row>
    <row r="20" spans="1:19" x14ac:dyDescent="0.35">
      <c r="A20" s="5"/>
      <c r="B20" s="1"/>
      <c r="C20" s="11"/>
      <c r="D20" s="11"/>
      <c r="E20" s="12"/>
      <c r="F20" s="12"/>
      <c r="G20" s="12"/>
      <c r="H20" s="12"/>
      <c r="I20" s="41">
        <f>0.1*(Horaires3567310[[#This Row],[Heures de nuit]]+Horaires3567310[[#This Row],[heures jour dimanche]]+Horaires3567310[[#This Row],[heures jour fériés]])</f>
        <v>0</v>
      </c>
      <c r="J20" s="42">
        <f>(MOD(Horaires3567310[[#This Row],[Fin]]-Horaires3567310[[#This Row],[début]],1)-MOD(Horaires3567310[[#This Row],[PNP Fin]]-Horaires3567310[[#This Row],[PNP Début]],1))*24</f>
        <v>0</v>
      </c>
      <c r="K20" s="43">
        <f>IF(Horaires3567310[[#This Row],[PNP Début]]=0,0,IF(Horaires3567310[[#This Row],[PNP Début]]&lt;Horaires3567310[[#This Row],[début]],1,0)+Horaires3567310[[#This Row],[PNP Début]])</f>
        <v>0</v>
      </c>
      <c r="L20" s="44">
        <f>IF(Horaires3567310[[#This Row],[PNP Fin]]=0,0,IF(Horaires3567310[[#This Row],[PNP Fin]]&lt;Horaires3567310[[#This Row],[début]],1,0)+Horaires3567310[[#This Row],[PNP Fin]])</f>
        <v>0</v>
      </c>
      <c r="M20" s="44">
        <f>IF(Horaires3567310[[#This Row],[Fin]]&lt;Horaires3567310[[#This Row],[début]],1,0)+Horaires3567310[[#This Row],[Fin]]</f>
        <v>0</v>
      </c>
      <c r="N20" s="35">
        <f>IF(Horaires3567310[[#This Row],[Fin]]&lt;Horaires3567310[[#This Row],[début]],MAX(0,MIN(Horaires3567310[[#This Row],[Fin corrigée si nuit]],fin_nuit)-MAX(Horaires3567310[[#This Row],[début]],deb_nuit))*24,(MAX(deb_nuit,Horaires3567310[[#This Row],[Fin]])-MAX(deb_nuit,Horaires3567310[[#This Row],[début]])+MAX(MIN(fin_nuit-1,Horaires3567310[[#This Row],[Fin]])-MIN(fin_nuit-1,Horaires3567310[[#This Row],[début]]),0))*24)</f>
        <v>0</v>
      </c>
      <c r="O20" s="45">
        <f>(MAX(0,MIN(Horaires3567310[[#This Row],[Fin corrigée si nuit]],fin_nuit)-MAX(Horaires3567310[[#This Row],[début]],deb_nuit))-IF(Horaires3567310[[#This Row],[PNP Début]]=0,0,MIN(Horaires3567310[[#This Row],[PNP Fin corrigée]],fin_nuit)-MAX(Horaires3567310[[#This Row],[PNP Début corrigé]],deb_nuit)))*24</f>
        <v>0</v>
      </c>
      <c r="P20" s="45">
        <f>(IF(WEEKDAY(Horaires3567310[[#This Row],[Date]],2)=7,MAX(0,MIN(fin_dimJF,Horaires3567310[[#This Row],[Fin corrigée si nuit]])-MAX(deb_dimJF,Horaires3567310[[#This Row],[début]])),0)+IF(WEEKDAY(Horaires3567310[[#This Row],[Date]],2)=6,MAX(0,Horaires3567310[[#This Row],[Fin corrigée si nuit]]-(1+deb_dimJF)),0))*24</f>
        <v>0</v>
      </c>
      <c r="Q20" s="45">
        <f>(IF(WEEKDAY(Horaires3567310[[#This Row],[Date]],2)=7,MAX(0,MIN(fin_dimJF,Horaires3567310[[#This Row],[Fin corrigée si nuit]])-MAX(deb_dimJF,Horaires3567310[[#This Row],[début]])),0)+IF(WEEKDAY(Horaires3567310[[#This Row],[Date]],2)=6,MAX(0,Horaires3567310[[#This Row],[Fin corrigée si nuit]]-(1+deb_dimJF)),0))*24-
(IF(WEEKDAY(Horaires3567310[[#This Row],[Date]],2)=7,MAX(0,MIN(fin_dimJF,Horaires3567310[[#This Row],[PNP Fin corrigée]])-MAX(deb_dimJF,Horaires3567310[[#This Row],[PNP Début corrigé]])),0)+IF(WEEKDAY(Horaires3567310[[#This Row],[Date]],2)=6,MAX(0,Horaires3567310[[#This Row],[PNP Fin corrigée]]-(1+deb_dimJF)),0))*24</f>
        <v>0</v>
      </c>
      <c r="R20" s="45">
        <f>(IF(COUNTIF(JF,Horaires3567310[[#This Row],[Date]]),MAX(0,MIN(fin_dimJF,Horaires3567310[[#This Row],[Fin corrigée si nuit]])-MAX(deb_dimJF,Horaires3567310[[#This Row],[début]])),0)+IF(COUNTIF(JF,Horaires3567310[[#This Row],[Date]]+1),MAX(0,Horaires3567310[[#This Row],[Fin corrigée si nuit]]-(1+deb_dimJF)),0))*24</f>
        <v>0</v>
      </c>
      <c r="S20" s="45">
        <f>(IF(COUNTIF(JF,Horaires3567310[[#This Row],[Date]]),MAX(0,MIN(fin_dimJF,Horaires3567310[[#This Row],[Fin corrigée si nuit]])-MAX(deb_dimJF,Horaires3567310[[#This Row],[début]])),0)+IF(COUNTIF(JF,Horaires3567310[[#This Row],[Date]]+1),MAX(0,Horaires3567310[[#This Row],[Fin corrigée si nuit]]-(1+deb_dimJF)),0))*24-
(IF(COUNTIF(JF,Horaires3567310[[#This Row],[Date]]),MAX(0,MIN(fin_dimJF,Horaires3567310[[#This Row],[PNP Fin corrigée]])-MAX(deb_dimJF,Horaires3567310[[#This Row],[PNP Début corrigé]])),0)+IF(COUNTIF(JF,Horaires3567310[[#This Row],[Date]]+1),MAX(0,Horaires3567310[[#This Row],[PNP Fin corrigée]]-(1+deb_dimJF)),0))*24</f>
        <v>0</v>
      </c>
    </row>
    <row r="21" spans="1:19" x14ac:dyDescent="0.35">
      <c r="A21" s="5"/>
      <c r="B21" s="6"/>
      <c r="C21" s="13"/>
      <c r="D21" s="13"/>
      <c r="E21" s="3"/>
      <c r="F21" s="3"/>
      <c r="G21" s="14"/>
      <c r="H21" s="14"/>
      <c r="I21" s="46">
        <f>0.1*(Horaires3567310[[#This Row],[Heures de nuit]]+Horaires3567310[[#This Row],[heures jour dimanche]]+Horaires3567310[[#This Row],[heures jour fériés]])</f>
        <v>0</v>
      </c>
      <c r="J21" s="47">
        <f>(MOD(Horaires3567310[[#This Row],[Fin]]-Horaires3567310[[#This Row],[début]],1)-MOD(Horaires3567310[[#This Row],[PNP Fin]]-Horaires3567310[[#This Row],[PNP Début]],1))*24</f>
        <v>0</v>
      </c>
      <c r="K21" s="48">
        <f>IF(Horaires3567310[[#This Row],[PNP Début]]=0,0,IF(Horaires3567310[[#This Row],[PNP Début]]&lt;Horaires3567310[[#This Row],[début]],1,0)+Horaires3567310[[#This Row],[PNP Début]])</f>
        <v>0</v>
      </c>
      <c r="L21" s="49">
        <f>IF(Horaires3567310[[#This Row],[PNP Fin]]=0,0,IF(Horaires3567310[[#This Row],[PNP Fin]]&lt;Horaires3567310[[#This Row],[début]],1,0)+Horaires3567310[[#This Row],[PNP Fin]])</f>
        <v>0</v>
      </c>
      <c r="M21" s="49">
        <f>IF(Horaires3567310[[#This Row],[Fin]]&lt;Horaires3567310[[#This Row],[début]],1,0)+Horaires3567310[[#This Row],[Fin]]</f>
        <v>0</v>
      </c>
      <c r="N21" s="35">
        <f>IF(Horaires3567310[[#This Row],[Fin]]&lt;Horaires3567310[[#This Row],[début]],MAX(0,MIN(Horaires3567310[[#This Row],[Fin corrigée si nuit]],fin_nuit)-MAX(Horaires3567310[[#This Row],[début]],deb_nuit))*24,(MAX(deb_nuit,Horaires3567310[[#This Row],[Fin]])-MAX(deb_nuit,Horaires3567310[[#This Row],[début]])+MAX(MIN(fin_nuit-1,Horaires3567310[[#This Row],[Fin]])-MIN(fin_nuit-1,Horaires3567310[[#This Row],[début]]),0))*24)</f>
        <v>0</v>
      </c>
      <c r="O21" s="50">
        <f>(MAX(0,MIN(Horaires3567310[[#This Row],[Fin corrigée si nuit]],fin_nuit)-MAX(Horaires3567310[[#This Row],[début]],deb_nuit))-IF(Horaires3567310[[#This Row],[PNP Début]]=0,0,MIN(Horaires3567310[[#This Row],[PNP Fin corrigée]],fin_nuit)-MAX(Horaires3567310[[#This Row],[PNP Début corrigé]],deb_nuit)))*24</f>
        <v>0</v>
      </c>
      <c r="P21" s="50">
        <f>(IF(WEEKDAY(Horaires3567310[[#This Row],[Date]],2)=7,MAX(0,MIN(fin_dimJF,Horaires3567310[[#This Row],[Fin corrigée si nuit]])-MAX(deb_dimJF,Horaires3567310[[#This Row],[début]])),0)+IF(WEEKDAY(Horaires3567310[[#This Row],[Date]],2)=6,MAX(0,Horaires3567310[[#This Row],[Fin corrigée si nuit]]-(1+deb_dimJF)),0))*24</f>
        <v>0</v>
      </c>
      <c r="Q21" s="50">
        <f>(IF(WEEKDAY(Horaires3567310[[#This Row],[Date]],2)=7,MAX(0,MIN(fin_dimJF,Horaires3567310[[#This Row],[Fin corrigée si nuit]])-MAX(deb_dimJF,Horaires3567310[[#This Row],[début]])),0)+IF(WEEKDAY(Horaires3567310[[#This Row],[Date]],2)=6,MAX(0,Horaires3567310[[#This Row],[Fin corrigée si nuit]]-(1+deb_dimJF)),0))*24-
(IF(WEEKDAY(Horaires3567310[[#This Row],[Date]],2)=7,MAX(0,MIN(fin_dimJF,Horaires3567310[[#This Row],[PNP Fin corrigée]])-MAX(deb_dimJF,Horaires3567310[[#This Row],[PNP Début corrigé]])),0)+IF(WEEKDAY(Horaires3567310[[#This Row],[Date]],2)=6,MAX(0,Horaires3567310[[#This Row],[PNP Fin corrigée]]-(1+deb_dimJF)),0))*24</f>
        <v>0</v>
      </c>
      <c r="R21" s="50">
        <f>(IF(COUNTIF(JF,Horaires3567310[[#This Row],[Date]]),MAX(0,MIN(fin_dimJF,Horaires3567310[[#This Row],[Fin corrigée si nuit]])-MAX(deb_dimJF,Horaires3567310[[#This Row],[début]])),0)+IF(COUNTIF(JF,Horaires3567310[[#This Row],[Date]]+1),MAX(0,Horaires3567310[[#This Row],[Fin corrigée si nuit]]-(1+deb_dimJF)),0))*24</f>
        <v>0</v>
      </c>
      <c r="S21" s="50">
        <f>(IF(COUNTIF(JF,Horaires3567310[[#This Row],[Date]]),MAX(0,MIN(fin_dimJF,Horaires3567310[[#This Row],[Fin corrigée si nuit]])-MAX(deb_dimJF,Horaires3567310[[#This Row],[début]])),0)+IF(COUNTIF(JF,Horaires3567310[[#This Row],[Date]]+1),MAX(0,Horaires3567310[[#This Row],[Fin corrigée si nuit]]-(1+deb_dimJF)),0))*24-
(IF(COUNTIF(JF,Horaires3567310[[#This Row],[Date]]),MAX(0,MIN(fin_dimJF,Horaires3567310[[#This Row],[PNP Fin corrigée]])-MAX(deb_dimJF,Horaires3567310[[#This Row],[PNP Début corrigé]])),0)+IF(COUNTIF(JF,Horaires3567310[[#This Row],[Date]]+1),MAX(0,Horaires3567310[[#This Row],[PNP Fin corrigée]]-(1+deb_dimJF)),0))*24</f>
        <v>0</v>
      </c>
    </row>
    <row r="22" spans="1:19" x14ac:dyDescent="0.35">
      <c r="A22" s="5"/>
      <c r="B22" s="1"/>
      <c r="C22" s="13"/>
      <c r="D22" s="13"/>
      <c r="E22" s="3"/>
      <c r="F22" s="3"/>
      <c r="G22" s="3"/>
      <c r="H22" s="3"/>
      <c r="I22" s="51">
        <f>0.1*(Horaires3567310[[#This Row],[Heures de nuit]]+Horaires3567310[[#This Row],[heures jour dimanche]]+Horaires3567310[[#This Row],[heures jour fériés]])</f>
        <v>0</v>
      </c>
      <c r="J22" s="52">
        <f>(MOD(Horaires3567310[[#This Row],[Fin]]-Horaires3567310[[#This Row],[début]],1)-MOD(Horaires3567310[[#This Row],[PNP Fin]]-Horaires3567310[[#This Row],[PNP Début]],1))*24</f>
        <v>0</v>
      </c>
      <c r="K22" s="53">
        <f>IF(Horaires3567310[[#This Row],[PNP Début]]=0,0,IF(Horaires3567310[[#This Row],[PNP Début]]&lt;Horaires3567310[[#This Row],[début]],1,0)+Horaires3567310[[#This Row],[PNP Début]])</f>
        <v>0</v>
      </c>
      <c r="L22" s="54">
        <f>IF(Horaires3567310[[#This Row],[PNP Fin]]=0,0,IF(Horaires3567310[[#This Row],[PNP Fin]]&lt;Horaires3567310[[#This Row],[début]],1,0)+Horaires3567310[[#This Row],[PNP Fin]])</f>
        <v>0</v>
      </c>
      <c r="M22" s="54">
        <f>IF(Horaires3567310[[#This Row],[Fin]]&lt;Horaires3567310[[#This Row],[début]],1,0)+Horaires3567310[[#This Row],[Fin]]</f>
        <v>0</v>
      </c>
      <c r="N22" s="35">
        <f>IF(Horaires3567310[[#This Row],[Fin]]&lt;Horaires3567310[[#This Row],[début]],MAX(0,MIN(Horaires3567310[[#This Row],[Fin corrigée si nuit]],fin_nuit)-MAX(Horaires3567310[[#This Row],[début]],deb_nuit))*24,(MAX(deb_nuit,Horaires3567310[[#This Row],[Fin]])-MAX(deb_nuit,Horaires3567310[[#This Row],[début]])+MAX(MIN(fin_nuit-1,Horaires3567310[[#This Row],[Fin]])-MIN(fin_nuit-1,Horaires3567310[[#This Row],[début]]),0))*24)</f>
        <v>0</v>
      </c>
      <c r="O22" s="55">
        <f>(MAX(0,MIN(Horaires3567310[[#This Row],[Fin corrigée si nuit]],fin_nuit)-MAX(Horaires3567310[[#This Row],[début]],deb_nuit))-IF(Horaires3567310[[#This Row],[PNP Début]]=0,0,MIN(Horaires3567310[[#This Row],[PNP Fin corrigée]],fin_nuit)-MAX(Horaires3567310[[#This Row],[PNP Début corrigé]],deb_nuit)))*24</f>
        <v>0</v>
      </c>
      <c r="P22" s="55">
        <f>(IF(WEEKDAY(Horaires3567310[[#This Row],[Date]],2)=7,MAX(0,MIN(fin_dimJF,Horaires3567310[[#This Row],[Fin corrigée si nuit]])-MAX(deb_dimJF,Horaires3567310[[#This Row],[début]])),0)+IF(WEEKDAY(Horaires3567310[[#This Row],[Date]],2)=6,MAX(0,Horaires3567310[[#This Row],[Fin corrigée si nuit]]-(1+deb_dimJF)),0))*24</f>
        <v>0</v>
      </c>
      <c r="Q22" s="55">
        <f>(IF(WEEKDAY(Horaires3567310[[#This Row],[Date]],2)=7,MAX(0,MIN(fin_dimJF,Horaires3567310[[#This Row],[Fin corrigée si nuit]])-MAX(deb_dimJF,Horaires3567310[[#This Row],[début]])),0)+IF(WEEKDAY(Horaires3567310[[#This Row],[Date]],2)=6,MAX(0,Horaires3567310[[#This Row],[Fin corrigée si nuit]]-(1+deb_dimJF)),0))*24-
(IF(WEEKDAY(Horaires3567310[[#This Row],[Date]],2)=7,MAX(0,MIN(fin_dimJF,Horaires3567310[[#This Row],[PNP Fin corrigée]])-MAX(deb_dimJF,Horaires3567310[[#This Row],[PNP Début corrigé]])),0)+IF(WEEKDAY(Horaires3567310[[#This Row],[Date]],2)=6,MAX(0,Horaires3567310[[#This Row],[PNP Fin corrigée]]-(1+deb_dimJF)),0))*24</f>
        <v>0</v>
      </c>
      <c r="R22" s="55">
        <f>(IF(COUNTIF(JF,Horaires3567310[[#This Row],[Date]]),MAX(0,MIN(fin_dimJF,Horaires3567310[[#This Row],[Fin corrigée si nuit]])-MAX(deb_dimJF,Horaires3567310[[#This Row],[début]])),0)+IF(COUNTIF(JF,Horaires3567310[[#This Row],[Date]]+1),MAX(0,Horaires3567310[[#This Row],[Fin corrigée si nuit]]-(1+deb_dimJF)),0))*24</f>
        <v>0</v>
      </c>
      <c r="S22" s="55">
        <f>(IF(COUNTIF(JF,Horaires3567310[[#This Row],[Date]]),MAX(0,MIN(fin_dimJF,Horaires3567310[[#This Row],[Fin corrigée si nuit]])-MAX(deb_dimJF,Horaires3567310[[#This Row],[début]])),0)+IF(COUNTIF(JF,Horaires3567310[[#This Row],[Date]]+1),MAX(0,Horaires3567310[[#This Row],[Fin corrigée si nuit]]-(1+deb_dimJF)),0))*24-
(IF(COUNTIF(JF,Horaires3567310[[#This Row],[Date]]),MAX(0,MIN(fin_dimJF,Horaires3567310[[#This Row],[PNP Fin corrigée]])-MAX(deb_dimJF,Horaires3567310[[#This Row],[PNP Début corrigé]])),0)+IF(COUNTIF(JF,Horaires3567310[[#This Row],[Date]]+1),MAX(0,Horaires3567310[[#This Row],[PNP Fin corrigée]]-(1+deb_dimJF)),0))*24</f>
        <v>0</v>
      </c>
    </row>
    <row r="23" spans="1:19" x14ac:dyDescent="0.35">
      <c r="A23" s="5"/>
      <c r="B23" s="1"/>
      <c r="C23" s="13"/>
      <c r="D23" s="13"/>
      <c r="E23" s="3"/>
      <c r="F23" s="3"/>
      <c r="G23" s="3"/>
      <c r="H23" s="3"/>
      <c r="I23" s="51">
        <f>0.1*(Horaires3567310[[#This Row],[Heures de nuit]]+Horaires3567310[[#This Row],[heures jour dimanche]]+Horaires3567310[[#This Row],[heures jour fériés]])</f>
        <v>0</v>
      </c>
      <c r="J23" s="52">
        <f>(MOD(Horaires3567310[[#This Row],[Fin]]-Horaires3567310[[#This Row],[début]],1)-MOD(Horaires3567310[[#This Row],[PNP Fin]]-Horaires3567310[[#This Row],[PNP Début]],1))*24</f>
        <v>0</v>
      </c>
      <c r="K23" s="53">
        <f>IF(Horaires3567310[[#This Row],[PNP Début]]=0,0,IF(Horaires3567310[[#This Row],[PNP Début]]&lt;Horaires3567310[[#This Row],[début]],1,0)+Horaires3567310[[#This Row],[PNP Début]])</f>
        <v>0</v>
      </c>
      <c r="L23" s="54">
        <f>IF(Horaires3567310[[#This Row],[PNP Fin]]=0,0,IF(Horaires3567310[[#This Row],[PNP Fin]]&lt;Horaires3567310[[#This Row],[début]],1,0)+Horaires3567310[[#This Row],[PNP Fin]])</f>
        <v>0</v>
      </c>
      <c r="M23" s="54">
        <f>IF(Horaires3567310[[#This Row],[Fin]]&lt;Horaires3567310[[#This Row],[début]],1,0)+Horaires3567310[[#This Row],[Fin]]</f>
        <v>0</v>
      </c>
      <c r="N23" s="35">
        <f>IF(Horaires3567310[[#This Row],[Fin]]&lt;Horaires3567310[[#This Row],[début]],MAX(0,MIN(Horaires3567310[[#This Row],[Fin corrigée si nuit]],fin_nuit)-MAX(Horaires3567310[[#This Row],[début]],deb_nuit))*24,(MAX(deb_nuit,Horaires3567310[[#This Row],[Fin]])-MAX(deb_nuit,Horaires3567310[[#This Row],[début]])+MAX(MIN(fin_nuit-1,Horaires3567310[[#This Row],[Fin]])-MIN(fin_nuit-1,Horaires3567310[[#This Row],[début]]),0))*24)</f>
        <v>0</v>
      </c>
      <c r="O23" s="55">
        <f>(MAX(0,MIN(Horaires3567310[[#This Row],[Fin corrigée si nuit]],fin_nuit)-MAX(Horaires3567310[[#This Row],[début]],deb_nuit))-IF(Horaires3567310[[#This Row],[PNP Début]]=0,0,MIN(Horaires3567310[[#This Row],[PNP Fin corrigée]],fin_nuit)-MAX(Horaires3567310[[#This Row],[PNP Début corrigé]],deb_nuit)))*24</f>
        <v>0</v>
      </c>
      <c r="P23" s="55">
        <f>(IF(WEEKDAY(Horaires3567310[[#This Row],[Date]],2)=7,MAX(0,MIN(fin_dimJF,Horaires3567310[[#This Row],[Fin corrigée si nuit]])-MAX(deb_dimJF,Horaires3567310[[#This Row],[début]])),0)+IF(WEEKDAY(Horaires3567310[[#This Row],[Date]],2)=6,MAX(0,Horaires3567310[[#This Row],[Fin corrigée si nuit]]-(1+deb_dimJF)),0))*24</f>
        <v>0</v>
      </c>
      <c r="Q23" s="55">
        <f>(IF(WEEKDAY(Horaires3567310[[#This Row],[Date]],2)=7,MAX(0,MIN(fin_dimJF,Horaires3567310[[#This Row],[Fin corrigée si nuit]])-MAX(deb_dimJF,Horaires3567310[[#This Row],[début]])),0)+IF(WEEKDAY(Horaires3567310[[#This Row],[Date]],2)=6,MAX(0,Horaires3567310[[#This Row],[Fin corrigée si nuit]]-(1+deb_dimJF)),0))*24-
(IF(WEEKDAY(Horaires3567310[[#This Row],[Date]],2)=7,MAX(0,MIN(fin_dimJF,Horaires3567310[[#This Row],[PNP Fin corrigée]])-MAX(deb_dimJF,Horaires3567310[[#This Row],[PNP Début corrigé]])),0)+IF(WEEKDAY(Horaires3567310[[#This Row],[Date]],2)=6,MAX(0,Horaires3567310[[#This Row],[PNP Fin corrigée]]-(1+deb_dimJF)),0))*24</f>
        <v>0</v>
      </c>
      <c r="R23" s="55">
        <f>(IF(COUNTIF(JF,Horaires3567310[[#This Row],[Date]]),MAX(0,MIN(fin_dimJF,Horaires3567310[[#This Row],[Fin corrigée si nuit]])-MAX(deb_dimJF,Horaires3567310[[#This Row],[début]])),0)+IF(COUNTIF(JF,Horaires3567310[[#This Row],[Date]]+1),MAX(0,Horaires3567310[[#This Row],[Fin corrigée si nuit]]-(1+deb_dimJF)),0))*24</f>
        <v>0</v>
      </c>
      <c r="S23" s="55">
        <f>(IF(COUNTIF(JF,Horaires3567310[[#This Row],[Date]]),MAX(0,MIN(fin_dimJF,Horaires3567310[[#This Row],[Fin corrigée si nuit]])-MAX(deb_dimJF,Horaires3567310[[#This Row],[début]])),0)+IF(COUNTIF(JF,Horaires3567310[[#This Row],[Date]]+1),MAX(0,Horaires3567310[[#This Row],[Fin corrigée si nuit]]-(1+deb_dimJF)),0))*24-
(IF(COUNTIF(JF,Horaires3567310[[#This Row],[Date]]),MAX(0,MIN(fin_dimJF,Horaires3567310[[#This Row],[PNP Fin corrigée]])-MAX(deb_dimJF,Horaires3567310[[#This Row],[PNP Début corrigé]])),0)+IF(COUNTIF(JF,Horaires3567310[[#This Row],[Date]]+1),MAX(0,Horaires3567310[[#This Row],[PNP Fin corrigée]]-(1+deb_dimJF)),0))*24</f>
        <v>0</v>
      </c>
    </row>
    <row r="24" spans="1:19" x14ac:dyDescent="0.35">
      <c r="A24" s="5"/>
      <c r="B24" s="1"/>
      <c r="C24" s="2"/>
      <c r="D24" s="2"/>
      <c r="E24" s="3"/>
      <c r="F24" s="3"/>
      <c r="G24" s="3"/>
      <c r="H24" s="3"/>
      <c r="I24" s="51">
        <f>0.1*(Horaires3567310[[#This Row],[Heures de nuit]]+Horaires3567310[[#This Row],[heures jour dimanche]]+Horaires3567310[[#This Row],[heures jour fériés]])</f>
        <v>0</v>
      </c>
      <c r="J24" s="52">
        <f>(MOD(Horaires3567310[[#This Row],[Fin]]-Horaires3567310[[#This Row],[début]],1)-MOD(Horaires3567310[[#This Row],[PNP Fin]]-Horaires3567310[[#This Row],[PNP Début]],1))*24</f>
        <v>0</v>
      </c>
      <c r="K24" s="53">
        <f>IF(Horaires3567310[[#This Row],[PNP Début]]=0,0,IF(Horaires3567310[[#This Row],[PNP Début]]&lt;Horaires3567310[[#This Row],[début]],1,0)+Horaires3567310[[#This Row],[PNP Début]])</f>
        <v>0</v>
      </c>
      <c r="L24" s="54">
        <f>IF(Horaires3567310[[#This Row],[PNP Fin]]=0,0,IF(Horaires3567310[[#This Row],[PNP Fin]]&lt;Horaires3567310[[#This Row],[début]],1,0)+Horaires3567310[[#This Row],[PNP Fin]])</f>
        <v>0</v>
      </c>
      <c r="M24" s="54">
        <f>IF(Horaires3567310[[#This Row],[Fin]]&lt;Horaires3567310[[#This Row],[début]],1,0)+Horaires3567310[[#This Row],[Fin]]</f>
        <v>0</v>
      </c>
      <c r="N24" s="35">
        <f>IF(Horaires3567310[[#This Row],[Fin]]&lt;Horaires3567310[[#This Row],[début]],MAX(0,MIN(Horaires3567310[[#This Row],[Fin corrigée si nuit]],fin_nuit)-MAX(Horaires3567310[[#This Row],[début]],deb_nuit))*24,(MAX(deb_nuit,Horaires3567310[[#This Row],[Fin]])-MAX(deb_nuit,Horaires3567310[[#This Row],[début]])+MAX(MIN(fin_nuit-1,Horaires3567310[[#This Row],[Fin]])-MIN(fin_nuit-1,Horaires3567310[[#This Row],[début]]),0))*24)</f>
        <v>0</v>
      </c>
      <c r="O24" s="55">
        <f>(MAX(0,MIN(Horaires3567310[[#This Row],[Fin corrigée si nuit]],fin_nuit)-MAX(Horaires3567310[[#This Row],[début]],deb_nuit))-IF(Horaires3567310[[#This Row],[PNP Début]]=0,0,MIN(Horaires3567310[[#This Row],[PNP Fin corrigée]],fin_nuit)-MAX(Horaires3567310[[#This Row],[PNP Début corrigé]],deb_nuit)))*24</f>
        <v>0</v>
      </c>
      <c r="P24" s="55">
        <f>(IF(WEEKDAY(Horaires3567310[[#This Row],[Date]],2)=7,MAX(0,MIN(fin_dimJF,Horaires3567310[[#This Row],[Fin corrigée si nuit]])-MAX(deb_dimJF,Horaires3567310[[#This Row],[début]])),0)+IF(WEEKDAY(Horaires3567310[[#This Row],[Date]],2)=6,MAX(0,Horaires3567310[[#This Row],[Fin corrigée si nuit]]-(1+deb_dimJF)),0))*24</f>
        <v>0</v>
      </c>
      <c r="Q24" s="55">
        <f>(IF(WEEKDAY(Horaires3567310[[#This Row],[Date]],2)=7,MAX(0,MIN(fin_dimJF,Horaires3567310[[#This Row],[Fin corrigée si nuit]])-MAX(deb_dimJF,Horaires3567310[[#This Row],[début]])),0)+IF(WEEKDAY(Horaires3567310[[#This Row],[Date]],2)=6,MAX(0,Horaires3567310[[#This Row],[Fin corrigée si nuit]]-(1+deb_dimJF)),0))*24-
(IF(WEEKDAY(Horaires3567310[[#This Row],[Date]],2)=7,MAX(0,MIN(fin_dimJF,Horaires3567310[[#This Row],[PNP Fin corrigée]])-MAX(deb_dimJF,Horaires3567310[[#This Row],[PNP Début corrigé]])),0)+IF(WEEKDAY(Horaires3567310[[#This Row],[Date]],2)=6,MAX(0,Horaires3567310[[#This Row],[PNP Fin corrigée]]-(1+deb_dimJF)),0))*24</f>
        <v>0</v>
      </c>
      <c r="R24" s="55">
        <f>(IF(COUNTIF(JF,Horaires3567310[[#This Row],[Date]]),MAX(0,MIN(fin_dimJF,Horaires3567310[[#This Row],[Fin corrigée si nuit]])-MAX(deb_dimJF,Horaires3567310[[#This Row],[début]])),0)+IF(COUNTIF(JF,Horaires3567310[[#This Row],[Date]]+1),MAX(0,Horaires3567310[[#This Row],[Fin corrigée si nuit]]-(1+deb_dimJF)),0))*24</f>
        <v>0</v>
      </c>
      <c r="S24" s="55">
        <f>(IF(COUNTIF(JF,Horaires3567310[[#This Row],[Date]]),MAX(0,MIN(fin_dimJF,Horaires3567310[[#This Row],[Fin corrigée si nuit]])-MAX(deb_dimJF,Horaires3567310[[#This Row],[début]])),0)+IF(COUNTIF(JF,Horaires3567310[[#This Row],[Date]]+1),MAX(0,Horaires3567310[[#This Row],[Fin corrigée si nuit]]-(1+deb_dimJF)),0))*24-
(IF(COUNTIF(JF,Horaires3567310[[#This Row],[Date]]),MAX(0,MIN(fin_dimJF,Horaires3567310[[#This Row],[PNP Fin corrigée]])-MAX(deb_dimJF,Horaires3567310[[#This Row],[PNP Début corrigé]])),0)+IF(COUNTIF(JF,Horaires3567310[[#This Row],[Date]]+1),MAX(0,Horaires3567310[[#This Row],[PNP Fin corrigée]]-(1+deb_dimJF)),0))*24</f>
        <v>0</v>
      </c>
    </row>
    <row r="25" spans="1:19" x14ac:dyDescent="0.35">
      <c r="A25" s="5"/>
      <c r="B25" s="1"/>
      <c r="C25" s="2"/>
      <c r="D25" s="2"/>
      <c r="E25" s="3"/>
      <c r="F25" s="3"/>
      <c r="G25" s="3"/>
      <c r="H25" s="3"/>
      <c r="I25" s="51">
        <f>0.1*(Horaires3567310[[#This Row],[Heures de nuit]]+Horaires3567310[[#This Row],[heures jour dimanche]]+Horaires3567310[[#This Row],[heures jour fériés]])</f>
        <v>0</v>
      </c>
      <c r="J25" s="52">
        <f>(MOD(Horaires3567310[[#This Row],[Fin]]-Horaires3567310[[#This Row],[début]],1)-MOD(Horaires3567310[[#This Row],[PNP Fin]]-Horaires3567310[[#This Row],[PNP Début]],1))*24</f>
        <v>0</v>
      </c>
      <c r="K25" s="53">
        <f>IF(Horaires3567310[[#This Row],[PNP Début]]=0,0,IF(Horaires3567310[[#This Row],[PNP Début]]&lt;Horaires3567310[[#This Row],[début]],1,0)+Horaires3567310[[#This Row],[PNP Début]])</f>
        <v>0</v>
      </c>
      <c r="L25" s="54">
        <f>IF(Horaires3567310[[#This Row],[PNP Fin]]=0,0,IF(Horaires3567310[[#This Row],[PNP Fin]]&lt;Horaires3567310[[#This Row],[début]],1,0)+Horaires3567310[[#This Row],[PNP Fin]])</f>
        <v>0</v>
      </c>
      <c r="M25" s="54">
        <f>IF(Horaires3567310[[#This Row],[Fin]]&lt;Horaires3567310[[#This Row],[début]],1,0)+Horaires3567310[[#This Row],[Fin]]</f>
        <v>0</v>
      </c>
      <c r="N25" s="35">
        <f>IF(Horaires3567310[[#This Row],[Fin]]&lt;Horaires3567310[[#This Row],[début]],MAX(0,MIN(Horaires3567310[[#This Row],[Fin corrigée si nuit]],fin_nuit)-MAX(Horaires3567310[[#This Row],[début]],deb_nuit))*24,(MAX(deb_nuit,Horaires3567310[[#This Row],[Fin]])-MAX(deb_nuit,Horaires3567310[[#This Row],[début]])+MAX(MIN(fin_nuit-1,Horaires3567310[[#This Row],[Fin]])-MIN(fin_nuit-1,Horaires3567310[[#This Row],[début]]),0))*24)</f>
        <v>0</v>
      </c>
      <c r="O25" s="55">
        <f>(MAX(0,MIN(Horaires3567310[[#This Row],[Fin corrigée si nuit]],fin_nuit)-MAX(Horaires3567310[[#This Row],[début]],deb_nuit))-IF(Horaires3567310[[#This Row],[PNP Début]]=0,0,MIN(Horaires3567310[[#This Row],[PNP Fin corrigée]],fin_nuit)-MAX(Horaires3567310[[#This Row],[PNP Début corrigé]],deb_nuit)))*24</f>
        <v>0</v>
      </c>
      <c r="P25" s="55">
        <f>(IF(WEEKDAY(Horaires3567310[[#This Row],[Date]],2)=7,MAX(0,MIN(fin_dimJF,Horaires3567310[[#This Row],[Fin corrigée si nuit]])-MAX(deb_dimJF,Horaires3567310[[#This Row],[début]])),0)+IF(WEEKDAY(Horaires3567310[[#This Row],[Date]],2)=6,MAX(0,Horaires3567310[[#This Row],[Fin corrigée si nuit]]-(1+deb_dimJF)),0))*24</f>
        <v>0</v>
      </c>
      <c r="Q25" s="55">
        <f>(IF(WEEKDAY(Horaires3567310[[#This Row],[Date]],2)=7,MAX(0,MIN(fin_dimJF,Horaires3567310[[#This Row],[Fin corrigée si nuit]])-MAX(deb_dimJF,Horaires3567310[[#This Row],[début]])),0)+IF(WEEKDAY(Horaires3567310[[#This Row],[Date]],2)=6,MAX(0,Horaires3567310[[#This Row],[Fin corrigée si nuit]]-(1+deb_dimJF)),0))*24-
(IF(WEEKDAY(Horaires3567310[[#This Row],[Date]],2)=7,MAX(0,MIN(fin_dimJF,Horaires3567310[[#This Row],[PNP Fin corrigée]])-MAX(deb_dimJF,Horaires3567310[[#This Row],[PNP Début corrigé]])),0)+IF(WEEKDAY(Horaires3567310[[#This Row],[Date]],2)=6,MAX(0,Horaires3567310[[#This Row],[PNP Fin corrigée]]-(1+deb_dimJF)),0))*24</f>
        <v>0</v>
      </c>
      <c r="R25" s="55">
        <f>(IF(COUNTIF(JF,Horaires3567310[[#This Row],[Date]]),MAX(0,MIN(fin_dimJF,Horaires3567310[[#This Row],[Fin corrigée si nuit]])-MAX(deb_dimJF,Horaires3567310[[#This Row],[début]])),0)+IF(COUNTIF(JF,Horaires3567310[[#This Row],[Date]]+1),MAX(0,Horaires3567310[[#This Row],[Fin corrigée si nuit]]-(1+deb_dimJF)),0))*24</f>
        <v>0</v>
      </c>
      <c r="S25" s="55">
        <f>(IF(COUNTIF(JF,Horaires3567310[[#This Row],[Date]]),MAX(0,MIN(fin_dimJF,Horaires3567310[[#This Row],[Fin corrigée si nuit]])-MAX(deb_dimJF,Horaires3567310[[#This Row],[début]])),0)+IF(COUNTIF(JF,Horaires3567310[[#This Row],[Date]]+1),MAX(0,Horaires3567310[[#This Row],[Fin corrigée si nuit]]-(1+deb_dimJF)),0))*24-
(IF(COUNTIF(JF,Horaires3567310[[#This Row],[Date]]),MAX(0,MIN(fin_dimJF,Horaires3567310[[#This Row],[PNP Fin corrigée]])-MAX(deb_dimJF,Horaires3567310[[#This Row],[PNP Début corrigé]])),0)+IF(COUNTIF(JF,Horaires3567310[[#This Row],[Date]]+1),MAX(0,Horaires3567310[[#This Row],[PNP Fin corrigée]]-(1+deb_dimJF)),0))*24</f>
        <v>0</v>
      </c>
    </row>
    <row r="26" spans="1:19" ht="14.4" customHeight="1" x14ac:dyDescent="0.35">
      <c r="A26" s="5"/>
      <c r="B26" s="1"/>
      <c r="C26" s="2"/>
      <c r="D26" s="2"/>
      <c r="E26" s="3"/>
      <c r="F26" s="3"/>
      <c r="G26" s="3"/>
      <c r="H26" s="3"/>
      <c r="I26" s="51">
        <f>0.1*(Horaires3567310[[#This Row],[Heures de nuit]]+Horaires3567310[[#This Row],[heures jour dimanche]]+Horaires3567310[[#This Row],[heures jour fériés]])</f>
        <v>0</v>
      </c>
      <c r="J26" s="52">
        <f>(MOD(Horaires3567310[[#This Row],[Fin]]-Horaires3567310[[#This Row],[début]],1)-MOD(Horaires3567310[[#This Row],[PNP Fin]]-Horaires3567310[[#This Row],[PNP Début]],1))*24</f>
        <v>0</v>
      </c>
      <c r="K26" s="53">
        <f>IF(Horaires3567310[[#This Row],[PNP Début]]=0,0,IF(Horaires3567310[[#This Row],[PNP Début]]&lt;Horaires3567310[[#This Row],[début]],1,0)+Horaires3567310[[#This Row],[PNP Début]])</f>
        <v>0</v>
      </c>
      <c r="L26" s="54">
        <f>IF(Horaires3567310[[#This Row],[PNP Fin]]=0,0,IF(Horaires3567310[[#This Row],[PNP Fin]]&lt;Horaires3567310[[#This Row],[début]],1,0)+Horaires3567310[[#This Row],[PNP Fin]])</f>
        <v>0</v>
      </c>
      <c r="M26" s="54">
        <f>IF(Horaires3567310[[#This Row],[Fin]]&lt;Horaires3567310[[#This Row],[début]],1,0)+Horaires3567310[[#This Row],[Fin]]</f>
        <v>0</v>
      </c>
      <c r="N26" s="35">
        <f>IF(Horaires3567310[[#This Row],[Fin]]&lt;Horaires3567310[[#This Row],[début]],MAX(0,MIN(Horaires3567310[[#This Row],[Fin corrigée si nuit]],fin_nuit)-MAX(Horaires3567310[[#This Row],[début]],deb_nuit))*24,(MAX(deb_nuit,Horaires3567310[[#This Row],[Fin]])-MAX(deb_nuit,Horaires3567310[[#This Row],[début]])+MAX(MIN(fin_nuit-1,Horaires3567310[[#This Row],[Fin]])-MIN(fin_nuit-1,Horaires3567310[[#This Row],[début]]),0))*24)</f>
        <v>0</v>
      </c>
      <c r="O26" s="55">
        <f>(MAX(0,MIN(Horaires3567310[[#This Row],[Fin corrigée si nuit]],fin_nuit)-MAX(Horaires3567310[[#This Row],[début]],deb_nuit))-IF(Horaires3567310[[#This Row],[PNP Début]]=0,0,MIN(Horaires3567310[[#This Row],[PNP Fin corrigée]],fin_nuit)-MAX(Horaires3567310[[#This Row],[PNP Début corrigé]],deb_nuit)))*24</f>
        <v>0</v>
      </c>
      <c r="P26" s="55">
        <f>(IF(WEEKDAY(Horaires3567310[[#This Row],[Date]],2)=7,MAX(0,MIN(fin_dimJF,Horaires3567310[[#This Row],[Fin corrigée si nuit]])-MAX(deb_dimJF,Horaires3567310[[#This Row],[début]])),0)+IF(WEEKDAY(Horaires3567310[[#This Row],[Date]],2)=6,MAX(0,Horaires3567310[[#This Row],[Fin corrigée si nuit]]-(1+deb_dimJF)),0))*24</f>
        <v>0</v>
      </c>
      <c r="Q26" s="55">
        <f>(IF(WEEKDAY(Horaires3567310[[#This Row],[Date]],2)=7,MAX(0,MIN(fin_dimJF,Horaires3567310[[#This Row],[Fin corrigée si nuit]])-MAX(deb_dimJF,Horaires3567310[[#This Row],[début]])),0)+IF(WEEKDAY(Horaires3567310[[#This Row],[Date]],2)=6,MAX(0,Horaires3567310[[#This Row],[Fin corrigée si nuit]]-(1+deb_dimJF)),0))*24-
(IF(WEEKDAY(Horaires3567310[[#This Row],[Date]],2)=7,MAX(0,MIN(fin_dimJF,Horaires3567310[[#This Row],[PNP Fin corrigée]])-MAX(deb_dimJF,Horaires3567310[[#This Row],[PNP Début corrigé]])),0)+IF(WEEKDAY(Horaires3567310[[#This Row],[Date]],2)=6,MAX(0,Horaires3567310[[#This Row],[PNP Fin corrigée]]-(1+deb_dimJF)),0))*24</f>
        <v>0</v>
      </c>
      <c r="R26" s="55">
        <f>(IF(COUNTIF(JF,Horaires3567310[[#This Row],[Date]]),MAX(0,MIN(fin_dimJF,Horaires3567310[[#This Row],[Fin corrigée si nuit]])-MAX(deb_dimJF,Horaires3567310[[#This Row],[début]])),0)+IF(COUNTIF(JF,Horaires3567310[[#This Row],[Date]]+1),MAX(0,Horaires3567310[[#This Row],[Fin corrigée si nuit]]-(1+deb_dimJF)),0))*24</f>
        <v>0</v>
      </c>
      <c r="S26" s="55">
        <f>(IF(COUNTIF(JF,Horaires3567310[[#This Row],[Date]]),MAX(0,MIN(fin_dimJF,Horaires3567310[[#This Row],[Fin corrigée si nuit]])-MAX(deb_dimJF,Horaires3567310[[#This Row],[début]])),0)+IF(COUNTIF(JF,Horaires3567310[[#This Row],[Date]]+1),MAX(0,Horaires3567310[[#This Row],[Fin corrigée si nuit]]-(1+deb_dimJF)),0))*24-
(IF(COUNTIF(JF,Horaires3567310[[#This Row],[Date]]),MAX(0,MIN(fin_dimJF,Horaires3567310[[#This Row],[PNP Fin corrigée]])-MAX(deb_dimJF,Horaires3567310[[#This Row],[PNP Début corrigé]])),0)+IF(COUNTIF(JF,Horaires3567310[[#This Row],[Date]]+1),MAX(0,Horaires3567310[[#This Row],[PNP Fin corrigée]]-(1+deb_dimJF)),0))*24</f>
        <v>0</v>
      </c>
    </row>
    <row r="27" spans="1:19" x14ac:dyDescent="0.35">
      <c r="A27" s="5"/>
      <c r="B27" s="1"/>
      <c r="C27" s="2"/>
      <c r="D27" s="2"/>
      <c r="E27" s="3"/>
      <c r="F27" s="3"/>
      <c r="G27" s="3"/>
      <c r="H27" s="3"/>
      <c r="I27" s="51">
        <f>0.1*(Horaires3567310[[#This Row],[Heures de nuit]]+Horaires3567310[[#This Row],[heures jour dimanche]]+Horaires3567310[[#This Row],[heures jour fériés]])</f>
        <v>0</v>
      </c>
      <c r="J27" s="52">
        <f>(MOD(Horaires3567310[[#This Row],[Fin]]-Horaires3567310[[#This Row],[début]],1)-MOD(Horaires3567310[[#This Row],[PNP Fin]]-Horaires3567310[[#This Row],[PNP Début]],1))*24</f>
        <v>0</v>
      </c>
      <c r="K27" s="53">
        <f>IF(Horaires3567310[[#This Row],[PNP Début]]=0,0,IF(Horaires3567310[[#This Row],[PNP Début]]&lt;Horaires3567310[[#This Row],[début]],1,0)+Horaires3567310[[#This Row],[PNP Début]])</f>
        <v>0</v>
      </c>
      <c r="L27" s="54">
        <f>IF(Horaires3567310[[#This Row],[PNP Fin]]=0,0,IF(Horaires3567310[[#This Row],[PNP Fin]]&lt;Horaires3567310[[#This Row],[début]],1,0)+Horaires3567310[[#This Row],[PNP Fin]])</f>
        <v>0</v>
      </c>
      <c r="M27" s="54">
        <f>IF(Horaires3567310[[#This Row],[Fin]]&lt;Horaires3567310[[#This Row],[début]],1,0)+Horaires3567310[[#This Row],[Fin]]</f>
        <v>0</v>
      </c>
      <c r="N27" s="35">
        <f>IF(Horaires3567310[[#This Row],[Fin]]&lt;Horaires3567310[[#This Row],[début]],MAX(0,MIN(Horaires3567310[[#This Row],[Fin corrigée si nuit]],fin_nuit)-MAX(Horaires3567310[[#This Row],[début]],deb_nuit))*24,(MAX(deb_nuit,Horaires3567310[[#This Row],[Fin]])-MAX(deb_nuit,Horaires3567310[[#This Row],[début]])+MAX(MIN(fin_nuit-1,Horaires3567310[[#This Row],[Fin]])-MIN(fin_nuit-1,Horaires3567310[[#This Row],[début]]),0))*24)</f>
        <v>0</v>
      </c>
      <c r="O27" s="55">
        <f>(MAX(0,MIN(Horaires3567310[[#This Row],[Fin corrigée si nuit]],fin_nuit)-MAX(Horaires3567310[[#This Row],[début]],deb_nuit))-IF(Horaires3567310[[#This Row],[PNP Début]]=0,0,MIN(Horaires3567310[[#This Row],[PNP Fin corrigée]],fin_nuit)-MAX(Horaires3567310[[#This Row],[PNP Début corrigé]],deb_nuit)))*24</f>
        <v>0</v>
      </c>
      <c r="P27" s="55">
        <f>(IF(WEEKDAY(Horaires3567310[[#This Row],[Date]],2)=7,MAX(0,MIN(fin_dimJF,Horaires3567310[[#This Row],[Fin corrigée si nuit]])-MAX(deb_dimJF,Horaires3567310[[#This Row],[début]])),0)+IF(WEEKDAY(Horaires3567310[[#This Row],[Date]],2)=6,MAX(0,Horaires3567310[[#This Row],[Fin corrigée si nuit]]-(1+deb_dimJF)),0))*24</f>
        <v>0</v>
      </c>
      <c r="Q27" s="55">
        <f>(IF(WEEKDAY(Horaires3567310[[#This Row],[Date]],2)=7,MAX(0,MIN(fin_dimJF,Horaires3567310[[#This Row],[Fin corrigée si nuit]])-MAX(deb_dimJF,Horaires3567310[[#This Row],[début]])),0)+IF(WEEKDAY(Horaires3567310[[#This Row],[Date]],2)=6,MAX(0,Horaires3567310[[#This Row],[Fin corrigée si nuit]]-(1+deb_dimJF)),0))*24-
(IF(WEEKDAY(Horaires3567310[[#This Row],[Date]],2)=7,MAX(0,MIN(fin_dimJF,Horaires3567310[[#This Row],[PNP Fin corrigée]])-MAX(deb_dimJF,Horaires3567310[[#This Row],[PNP Début corrigé]])),0)+IF(WEEKDAY(Horaires3567310[[#This Row],[Date]],2)=6,MAX(0,Horaires3567310[[#This Row],[PNP Fin corrigée]]-(1+deb_dimJF)),0))*24</f>
        <v>0</v>
      </c>
      <c r="R27" s="55">
        <f>(IF(COUNTIF(JF,Horaires3567310[[#This Row],[Date]]),MAX(0,MIN(fin_dimJF,Horaires3567310[[#This Row],[Fin corrigée si nuit]])-MAX(deb_dimJF,Horaires3567310[[#This Row],[début]])),0)+IF(COUNTIF(JF,Horaires3567310[[#This Row],[Date]]+1),MAX(0,Horaires3567310[[#This Row],[Fin corrigée si nuit]]-(1+deb_dimJF)),0))*24</f>
        <v>0</v>
      </c>
      <c r="S27" s="55">
        <f>(IF(COUNTIF(JF,Horaires3567310[[#This Row],[Date]]),MAX(0,MIN(fin_dimJF,Horaires3567310[[#This Row],[Fin corrigée si nuit]])-MAX(deb_dimJF,Horaires3567310[[#This Row],[début]])),0)+IF(COUNTIF(JF,Horaires3567310[[#This Row],[Date]]+1),MAX(0,Horaires3567310[[#This Row],[Fin corrigée si nuit]]-(1+deb_dimJF)),0))*24-
(IF(COUNTIF(JF,Horaires3567310[[#This Row],[Date]]),MAX(0,MIN(fin_dimJF,Horaires3567310[[#This Row],[PNP Fin corrigée]])-MAX(deb_dimJF,Horaires3567310[[#This Row],[PNP Début corrigé]])),0)+IF(COUNTIF(JF,Horaires3567310[[#This Row],[Date]]+1),MAX(0,Horaires3567310[[#This Row],[PNP Fin corrigée]]-(1+deb_dimJF)),0))*24</f>
        <v>0</v>
      </c>
    </row>
    <row r="28" spans="1:19" x14ac:dyDescent="0.35">
      <c r="A28" s="5"/>
      <c r="B28" s="1"/>
      <c r="C28" s="2"/>
      <c r="D28" s="2"/>
      <c r="E28" s="3"/>
      <c r="F28" s="3"/>
      <c r="G28" s="3"/>
      <c r="H28" s="3"/>
      <c r="I28" s="51">
        <f>0.1*(Horaires3567310[[#This Row],[Heures de nuit]]+Horaires3567310[[#This Row],[heures jour dimanche]]+Horaires3567310[[#This Row],[heures jour fériés]])</f>
        <v>0</v>
      </c>
      <c r="J28" s="52">
        <f>(MOD(Horaires3567310[[#This Row],[Fin]]-Horaires3567310[[#This Row],[début]],1)-MOD(Horaires3567310[[#This Row],[PNP Fin]]-Horaires3567310[[#This Row],[PNP Début]],1))*24</f>
        <v>0</v>
      </c>
      <c r="K28" s="53">
        <f>IF(Horaires3567310[[#This Row],[PNP Début]]=0,0,IF(Horaires3567310[[#This Row],[PNP Début]]&lt;Horaires3567310[[#This Row],[début]],1,0)+Horaires3567310[[#This Row],[PNP Début]])</f>
        <v>0</v>
      </c>
      <c r="L28" s="54">
        <f>IF(Horaires3567310[[#This Row],[PNP Fin]]=0,0,IF(Horaires3567310[[#This Row],[PNP Fin]]&lt;Horaires3567310[[#This Row],[début]],1,0)+Horaires3567310[[#This Row],[PNP Fin]])</f>
        <v>0</v>
      </c>
      <c r="M28" s="54">
        <f>IF(Horaires3567310[[#This Row],[Fin]]&lt;Horaires3567310[[#This Row],[début]],1,0)+Horaires3567310[[#This Row],[Fin]]</f>
        <v>0</v>
      </c>
      <c r="N28" s="35">
        <f>IF(Horaires3567310[[#This Row],[Fin]]&lt;Horaires3567310[[#This Row],[début]],MAX(0,MIN(Horaires3567310[[#This Row],[Fin corrigée si nuit]],fin_nuit)-MAX(Horaires3567310[[#This Row],[début]],deb_nuit))*24,(MAX(deb_nuit,Horaires3567310[[#This Row],[Fin]])-MAX(deb_nuit,Horaires3567310[[#This Row],[début]])+MAX(MIN(fin_nuit-1,Horaires3567310[[#This Row],[Fin]])-MIN(fin_nuit-1,Horaires3567310[[#This Row],[début]]),0))*24)</f>
        <v>0</v>
      </c>
      <c r="O28" s="55">
        <f>(MAX(0,MIN(Horaires3567310[[#This Row],[Fin corrigée si nuit]],fin_nuit)-MAX(Horaires3567310[[#This Row],[début]],deb_nuit))-IF(Horaires3567310[[#This Row],[PNP Début]]=0,0,MIN(Horaires3567310[[#This Row],[PNP Fin corrigée]],fin_nuit)-MAX(Horaires3567310[[#This Row],[PNP Début corrigé]],deb_nuit)))*24</f>
        <v>0</v>
      </c>
      <c r="P28" s="55">
        <f>(IF(WEEKDAY(Horaires3567310[[#This Row],[Date]],2)=7,MAX(0,MIN(fin_dimJF,Horaires3567310[[#This Row],[Fin corrigée si nuit]])-MAX(deb_dimJF,Horaires3567310[[#This Row],[début]])),0)+IF(WEEKDAY(Horaires3567310[[#This Row],[Date]],2)=6,MAX(0,Horaires3567310[[#This Row],[Fin corrigée si nuit]]-(1+deb_dimJF)),0))*24</f>
        <v>0</v>
      </c>
      <c r="Q28" s="55">
        <f>(IF(WEEKDAY(Horaires3567310[[#This Row],[Date]],2)=7,MAX(0,MIN(fin_dimJF,Horaires3567310[[#This Row],[Fin corrigée si nuit]])-MAX(deb_dimJF,Horaires3567310[[#This Row],[début]])),0)+IF(WEEKDAY(Horaires3567310[[#This Row],[Date]],2)=6,MAX(0,Horaires3567310[[#This Row],[Fin corrigée si nuit]]-(1+deb_dimJF)),0))*24-
(IF(WEEKDAY(Horaires3567310[[#This Row],[Date]],2)=7,MAX(0,MIN(fin_dimJF,Horaires3567310[[#This Row],[PNP Fin corrigée]])-MAX(deb_dimJF,Horaires3567310[[#This Row],[PNP Début corrigé]])),0)+IF(WEEKDAY(Horaires3567310[[#This Row],[Date]],2)=6,MAX(0,Horaires3567310[[#This Row],[PNP Fin corrigée]]-(1+deb_dimJF)),0))*24</f>
        <v>0</v>
      </c>
      <c r="R28" s="55">
        <f>(IF(COUNTIF(JF,Horaires3567310[[#This Row],[Date]]),MAX(0,MIN(fin_dimJF,Horaires3567310[[#This Row],[Fin corrigée si nuit]])-MAX(deb_dimJF,Horaires3567310[[#This Row],[début]])),0)+IF(COUNTIF(JF,Horaires3567310[[#This Row],[Date]]+1),MAX(0,Horaires3567310[[#This Row],[Fin corrigée si nuit]]-(1+deb_dimJF)),0))*24</f>
        <v>0</v>
      </c>
      <c r="S28" s="55">
        <f>(IF(COUNTIF(JF,Horaires3567310[[#This Row],[Date]]),MAX(0,MIN(fin_dimJF,Horaires3567310[[#This Row],[Fin corrigée si nuit]])-MAX(deb_dimJF,Horaires3567310[[#This Row],[début]])),0)+IF(COUNTIF(JF,Horaires3567310[[#This Row],[Date]]+1),MAX(0,Horaires3567310[[#This Row],[Fin corrigée si nuit]]-(1+deb_dimJF)),0))*24-
(IF(COUNTIF(JF,Horaires3567310[[#This Row],[Date]]),MAX(0,MIN(fin_dimJF,Horaires3567310[[#This Row],[PNP Fin corrigée]])-MAX(deb_dimJF,Horaires3567310[[#This Row],[PNP Début corrigé]])),0)+IF(COUNTIF(JF,Horaires3567310[[#This Row],[Date]]+1),MAX(0,Horaires3567310[[#This Row],[PNP Fin corrigée]]-(1+deb_dimJF)),0))*24</f>
        <v>0</v>
      </c>
    </row>
    <row r="29" spans="1:19" x14ac:dyDescent="0.35">
      <c r="A29" s="5"/>
      <c r="B29" s="1"/>
      <c r="C29" s="2"/>
      <c r="D29" s="2"/>
      <c r="E29" s="3"/>
      <c r="F29" s="3"/>
      <c r="G29" s="3"/>
      <c r="H29" s="3"/>
      <c r="I29" s="51">
        <f>0.1*(Horaires3567310[[#This Row],[Heures de nuit]]+Horaires3567310[[#This Row],[heures jour dimanche]]+Horaires3567310[[#This Row],[heures jour fériés]])</f>
        <v>0</v>
      </c>
      <c r="J29" s="52">
        <f>(MOD(Horaires3567310[[#This Row],[Fin]]-Horaires3567310[[#This Row],[début]],1)-MOD(Horaires3567310[[#This Row],[PNP Fin]]-Horaires3567310[[#This Row],[PNP Début]],1))*24</f>
        <v>0</v>
      </c>
      <c r="K29" s="53">
        <f>IF(Horaires3567310[[#This Row],[PNP Début]]=0,0,IF(Horaires3567310[[#This Row],[PNP Début]]&lt;Horaires3567310[[#This Row],[début]],1,0)+Horaires3567310[[#This Row],[PNP Début]])</f>
        <v>0</v>
      </c>
      <c r="L29" s="54">
        <f>IF(Horaires3567310[[#This Row],[PNP Fin]]=0,0,IF(Horaires3567310[[#This Row],[PNP Fin]]&lt;Horaires3567310[[#This Row],[début]],1,0)+Horaires3567310[[#This Row],[PNP Fin]])</f>
        <v>0</v>
      </c>
      <c r="M29" s="54">
        <f>IF(Horaires3567310[[#This Row],[Fin]]&lt;Horaires3567310[[#This Row],[début]],1,0)+Horaires3567310[[#This Row],[Fin]]</f>
        <v>0</v>
      </c>
      <c r="N29" s="35">
        <f>IF(Horaires3567310[[#This Row],[Fin]]&lt;Horaires3567310[[#This Row],[début]],MAX(0,MIN(Horaires3567310[[#This Row],[Fin corrigée si nuit]],fin_nuit)-MAX(Horaires3567310[[#This Row],[début]],deb_nuit))*24,(MAX(deb_nuit,Horaires3567310[[#This Row],[Fin]])-MAX(deb_nuit,Horaires3567310[[#This Row],[début]])+MAX(MIN(fin_nuit-1,Horaires3567310[[#This Row],[Fin]])-MIN(fin_nuit-1,Horaires3567310[[#This Row],[début]]),0))*24)</f>
        <v>0</v>
      </c>
      <c r="O29" s="55">
        <f>(MAX(0,MIN(Horaires3567310[[#This Row],[Fin corrigée si nuit]],fin_nuit)-MAX(Horaires3567310[[#This Row],[début]],deb_nuit))-IF(Horaires3567310[[#This Row],[PNP Début]]=0,0,MIN(Horaires3567310[[#This Row],[PNP Fin corrigée]],fin_nuit)-MAX(Horaires3567310[[#This Row],[PNP Début corrigé]],deb_nuit)))*24</f>
        <v>0</v>
      </c>
      <c r="P29" s="55">
        <f>(IF(WEEKDAY(Horaires3567310[[#This Row],[Date]],2)=7,MAX(0,MIN(fin_dimJF,Horaires3567310[[#This Row],[Fin corrigée si nuit]])-MAX(deb_dimJF,Horaires3567310[[#This Row],[début]])),0)+IF(WEEKDAY(Horaires3567310[[#This Row],[Date]],2)=6,MAX(0,Horaires3567310[[#This Row],[Fin corrigée si nuit]]-(1+deb_dimJF)),0))*24</f>
        <v>0</v>
      </c>
      <c r="Q29" s="55">
        <f>(IF(WEEKDAY(Horaires3567310[[#This Row],[Date]],2)=7,MAX(0,MIN(fin_dimJF,Horaires3567310[[#This Row],[Fin corrigée si nuit]])-MAX(deb_dimJF,Horaires3567310[[#This Row],[début]])),0)+IF(WEEKDAY(Horaires3567310[[#This Row],[Date]],2)=6,MAX(0,Horaires3567310[[#This Row],[Fin corrigée si nuit]]-(1+deb_dimJF)),0))*24-
(IF(WEEKDAY(Horaires3567310[[#This Row],[Date]],2)=7,MAX(0,MIN(fin_dimJF,Horaires3567310[[#This Row],[PNP Fin corrigée]])-MAX(deb_dimJF,Horaires3567310[[#This Row],[PNP Début corrigé]])),0)+IF(WEEKDAY(Horaires3567310[[#This Row],[Date]],2)=6,MAX(0,Horaires3567310[[#This Row],[PNP Fin corrigée]]-(1+deb_dimJF)),0))*24</f>
        <v>0</v>
      </c>
      <c r="R29" s="55">
        <f>(IF(COUNTIF(JF,Horaires3567310[[#This Row],[Date]]),MAX(0,MIN(fin_dimJF,Horaires3567310[[#This Row],[Fin corrigée si nuit]])-MAX(deb_dimJF,Horaires3567310[[#This Row],[début]])),0)+IF(COUNTIF(JF,Horaires3567310[[#This Row],[Date]]+1),MAX(0,Horaires3567310[[#This Row],[Fin corrigée si nuit]]-(1+deb_dimJF)),0))*24</f>
        <v>0</v>
      </c>
      <c r="S29" s="55">
        <f>(IF(COUNTIF(JF,Horaires3567310[[#This Row],[Date]]),MAX(0,MIN(fin_dimJF,Horaires3567310[[#This Row],[Fin corrigée si nuit]])-MAX(deb_dimJF,Horaires3567310[[#This Row],[début]])),0)+IF(COUNTIF(JF,Horaires3567310[[#This Row],[Date]]+1),MAX(0,Horaires3567310[[#This Row],[Fin corrigée si nuit]]-(1+deb_dimJF)),0))*24-
(IF(COUNTIF(JF,Horaires3567310[[#This Row],[Date]]),MAX(0,MIN(fin_dimJF,Horaires3567310[[#This Row],[PNP Fin corrigée]])-MAX(deb_dimJF,Horaires3567310[[#This Row],[PNP Début corrigé]])),0)+IF(COUNTIF(JF,Horaires3567310[[#This Row],[Date]]+1),MAX(0,Horaires3567310[[#This Row],[PNP Fin corrigée]]-(1+deb_dimJF)),0))*24</f>
        <v>0</v>
      </c>
    </row>
    <row r="30" spans="1:19" x14ac:dyDescent="0.35">
      <c r="A30" s="5"/>
      <c r="B30" s="1"/>
      <c r="C30" s="2"/>
      <c r="D30" s="2"/>
      <c r="E30" s="3"/>
      <c r="F30" s="3"/>
      <c r="G30" s="3"/>
      <c r="H30" s="3"/>
      <c r="I30" s="51">
        <f>0.1*(Horaires3567310[[#This Row],[Heures de nuit]]+Horaires3567310[[#This Row],[heures jour dimanche]]+Horaires3567310[[#This Row],[heures jour fériés]])</f>
        <v>0</v>
      </c>
      <c r="J30" s="52">
        <f>(MOD(Horaires3567310[[#This Row],[Fin]]-Horaires3567310[[#This Row],[début]],1)-MOD(Horaires3567310[[#This Row],[PNP Fin]]-Horaires3567310[[#This Row],[PNP Début]],1))*24</f>
        <v>0</v>
      </c>
      <c r="K30" s="53">
        <f>IF(Horaires3567310[[#This Row],[PNP Début]]=0,0,IF(Horaires3567310[[#This Row],[PNP Début]]&lt;Horaires3567310[[#This Row],[début]],1,0)+Horaires3567310[[#This Row],[PNP Début]])</f>
        <v>0</v>
      </c>
      <c r="L30" s="54">
        <f>IF(Horaires3567310[[#This Row],[PNP Fin]]=0,0,IF(Horaires3567310[[#This Row],[PNP Fin]]&lt;Horaires3567310[[#This Row],[début]],1,0)+Horaires3567310[[#This Row],[PNP Fin]])</f>
        <v>0</v>
      </c>
      <c r="M30" s="54">
        <f>IF(Horaires3567310[[#This Row],[Fin]]&lt;Horaires3567310[[#This Row],[début]],1,0)+Horaires3567310[[#This Row],[Fin]]</f>
        <v>0</v>
      </c>
      <c r="N30" s="35">
        <f>IF(Horaires3567310[[#This Row],[Fin]]&lt;Horaires3567310[[#This Row],[début]],MAX(0,MIN(Horaires3567310[[#This Row],[Fin corrigée si nuit]],fin_nuit)-MAX(Horaires3567310[[#This Row],[début]],deb_nuit))*24,(MAX(deb_nuit,Horaires3567310[[#This Row],[Fin]])-MAX(deb_nuit,Horaires3567310[[#This Row],[début]])+MAX(MIN(fin_nuit-1,Horaires3567310[[#This Row],[Fin]])-MIN(fin_nuit-1,Horaires3567310[[#This Row],[début]]),0))*24)</f>
        <v>0</v>
      </c>
      <c r="O30" s="55">
        <f>(MAX(0,MIN(Horaires3567310[[#This Row],[Fin corrigée si nuit]],fin_nuit)-MAX(Horaires3567310[[#This Row],[début]],deb_nuit))-IF(Horaires3567310[[#This Row],[PNP Début]]=0,0,MIN(Horaires3567310[[#This Row],[PNP Fin corrigée]],fin_nuit)-MAX(Horaires3567310[[#This Row],[PNP Début corrigé]],deb_nuit)))*24</f>
        <v>0</v>
      </c>
      <c r="P30" s="55">
        <f>(IF(WEEKDAY(Horaires3567310[[#This Row],[Date]],2)=7,MAX(0,MIN(fin_dimJF,Horaires3567310[[#This Row],[Fin corrigée si nuit]])-MAX(deb_dimJF,Horaires3567310[[#This Row],[début]])),0)+IF(WEEKDAY(Horaires3567310[[#This Row],[Date]],2)=6,MAX(0,Horaires3567310[[#This Row],[Fin corrigée si nuit]]-(1+deb_dimJF)),0))*24</f>
        <v>0</v>
      </c>
      <c r="Q30" s="55">
        <f>(IF(WEEKDAY(Horaires3567310[[#This Row],[Date]],2)=7,MAX(0,MIN(fin_dimJF,Horaires3567310[[#This Row],[Fin corrigée si nuit]])-MAX(deb_dimJF,Horaires3567310[[#This Row],[début]])),0)+IF(WEEKDAY(Horaires3567310[[#This Row],[Date]],2)=6,MAX(0,Horaires3567310[[#This Row],[Fin corrigée si nuit]]-(1+deb_dimJF)),0))*24-
(IF(WEEKDAY(Horaires3567310[[#This Row],[Date]],2)=7,MAX(0,MIN(fin_dimJF,Horaires3567310[[#This Row],[PNP Fin corrigée]])-MAX(deb_dimJF,Horaires3567310[[#This Row],[PNP Début corrigé]])),0)+IF(WEEKDAY(Horaires3567310[[#This Row],[Date]],2)=6,MAX(0,Horaires3567310[[#This Row],[PNP Fin corrigée]]-(1+deb_dimJF)),0))*24</f>
        <v>0</v>
      </c>
      <c r="R30" s="55">
        <f>(IF(COUNTIF(JF,Horaires3567310[[#This Row],[Date]]),MAX(0,MIN(fin_dimJF,Horaires3567310[[#This Row],[Fin corrigée si nuit]])-MAX(deb_dimJF,Horaires3567310[[#This Row],[début]])),0)+IF(COUNTIF(JF,Horaires3567310[[#This Row],[Date]]+1),MAX(0,Horaires3567310[[#This Row],[Fin corrigée si nuit]]-(1+deb_dimJF)),0))*24</f>
        <v>0</v>
      </c>
      <c r="S30" s="55">
        <f>(IF(COUNTIF(JF,Horaires3567310[[#This Row],[Date]]),MAX(0,MIN(fin_dimJF,Horaires3567310[[#This Row],[Fin corrigée si nuit]])-MAX(deb_dimJF,Horaires3567310[[#This Row],[début]])),0)+IF(COUNTIF(JF,Horaires3567310[[#This Row],[Date]]+1),MAX(0,Horaires3567310[[#This Row],[Fin corrigée si nuit]]-(1+deb_dimJF)),0))*24-
(IF(COUNTIF(JF,Horaires3567310[[#This Row],[Date]]),MAX(0,MIN(fin_dimJF,Horaires3567310[[#This Row],[PNP Fin corrigée]])-MAX(deb_dimJF,Horaires3567310[[#This Row],[PNP Début corrigé]])),0)+IF(COUNTIF(JF,Horaires3567310[[#This Row],[Date]]+1),MAX(0,Horaires3567310[[#This Row],[PNP Fin corrigée]]-(1+deb_dimJF)),0))*24</f>
        <v>0</v>
      </c>
    </row>
    <row r="31" spans="1:19" x14ac:dyDescent="0.35">
      <c r="A31" s="5"/>
      <c r="B31" s="1"/>
      <c r="C31" s="2"/>
      <c r="D31" s="2"/>
      <c r="E31" s="3"/>
      <c r="F31" s="3"/>
      <c r="G31" s="3"/>
      <c r="H31" s="3"/>
      <c r="I31" s="51">
        <f>0.1*(Horaires3567310[[#This Row],[Heures de nuit]]+Horaires3567310[[#This Row],[heures jour dimanche]]+Horaires3567310[[#This Row],[heures jour fériés]])</f>
        <v>0</v>
      </c>
      <c r="J31" s="52">
        <f>(MOD(Horaires3567310[[#This Row],[Fin]]-Horaires3567310[[#This Row],[début]],1)-MOD(Horaires3567310[[#This Row],[PNP Fin]]-Horaires3567310[[#This Row],[PNP Début]],1))*24</f>
        <v>0</v>
      </c>
      <c r="K31" s="53">
        <f>IF(Horaires3567310[[#This Row],[PNP Début]]=0,0,IF(Horaires3567310[[#This Row],[PNP Début]]&lt;Horaires3567310[[#This Row],[début]],1,0)+Horaires3567310[[#This Row],[PNP Début]])</f>
        <v>0</v>
      </c>
      <c r="L31" s="54">
        <f>IF(Horaires3567310[[#This Row],[PNP Fin]]=0,0,IF(Horaires3567310[[#This Row],[PNP Fin]]&lt;Horaires3567310[[#This Row],[début]],1,0)+Horaires3567310[[#This Row],[PNP Fin]])</f>
        <v>0</v>
      </c>
      <c r="M31" s="54">
        <f>IF(Horaires3567310[[#This Row],[Fin]]&lt;Horaires3567310[[#This Row],[début]],1,0)+Horaires3567310[[#This Row],[Fin]]</f>
        <v>0</v>
      </c>
      <c r="N31" s="35">
        <f>IF(Horaires3567310[[#This Row],[Fin]]&lt;Horaires3567310[[#This Row],[début]],MAX(0,MIN(Horaires3567310[[#This Row],[Fin corrigée si nuit]],fin_nuit)-MAX(Horaires3567310[[#This Row],[début]],deb_nuit))*24,(MAX(deb_nuit,Horaires3567310[[#This Row],[Fin]])-MAX(deb_nuit,Horaires3567310[[#This Row],[début]])+MAX(MIN(fin_nuit-1,Horaires3567310[[#This Row],[Fin]])-MIN(fin_nuit-1,Horaires3567310[[#This Row],[début]]),0))*24)</f>
        <v>0</v>
      </c>
      <c r="O31" s="55">
        <f>(MAX(0,MIN(Horaires3567310[[#This Row],[Fin corrigée si nuit]],fin_nuit)-MAX(Horaires3567310[[#This Row],[début]],deb_nuit))-IF(Horaires3567310[[#This Row],[PNP Début]]=0,0,MIN(Horaires3567310[[#This Row],[PNP Fin corrigée]],fin_nuit)-MAX(Horaires3567310[[#This Row],[PNP Début corrigé]],deb_nuit)))*24</f>
        <v>0</v>
      </c>
      <c r="P31" s="55">
        <f>(IF(WEEKDAY(Horaires3567310[[#This Row],[Date]],2)=7,MAX(0,MIN(fin_dimJF,Horaires3567310[[#This Row],[Fin corrigée si nuit]])-MAX(deb_dimJF,Horaires3567310[[#This Row],[début]])),0)+IF(WEEKDAY(Horaires3567310[[#This Row],[Date]],2)=6,MAX(0,Horaires3567310[[#This Row],[Fin corrigée si nuit]]-(1+deb_dimJF)),0))*24</f>
        <v>0</v>
      </c>
      <c r="Q31" s="55">
        <f>(IF(WEEKDAY(Horaires3567310[[#This Row],[Date]],2)=7,MAX(0,MIN(fin_dimJF,Horaires3567310[[#This Row],[Fin corrigée si nuit]])-MAX(deb_dimJF,Horaires3567310[[#This Row],[début]])),0)+IF(WEEKDAY(Horaires3567310[[#This Row],[Date]],2)=6,MAX(0,Horaires3567310[[#This Row],[Fin corrigée si nuit]]-(1+deb_dimJF)),0))*24-
(IF(WEEKDAY(Horaires3567310[[#This Row],[Date]],2)=7,MAX(0,MIN(fin_dimJF,Horaires3567310[[#This Row],[PNP Fin corrigée]])-MAX(deb_dimJF,Horaires3567310[[#This Row],[PNP Début corrigé]])),0)+IF(WEEKDAY(Horaires3567310[[#This Row],[Date]],2)=6,MAX(0,Horaires3567310[[#This Row],[PNP Fin corrigée]]-(1+deb_dimJF)),0))*24</f>
        <v>0</v>
      </c>
      <c r="R31" s="55">
        <f>(IF(COUNTIF(JF,Horaires3567310[[#This Row],[Date]]),MAX(0,MIN(fin_dimJF,Horaires3567310[[#This Row],[Fin corrigée si nuit]])-MAX(deb_dimJF,Horaires3567310[[#This Row],[début]])),0)+IF(COUNTIF(JF,Horaires3567310[[#This Row],[Date]]+1),MAX(0,Horaires3567310[[#This Row],[Fin corrigée si nuit]]-(1+deb_dimJF)),0))*24</f>
        <v>0</v>
      </c>
      <c r="S31" s="55">
        <f>(IF(COUNTIF(JF,Horaires3567310[[#This Row],[Date]]),MAX(0,MIN(fin_dimJF,Horaires3567310[[#This Row],[Fin corrigée si nuit]])-MAX(deb_dimJF,Horaires3567310[[#This Row],[début]])),0)+IF(COUNTIF(JF,Horaires3567310[[#This Row],[Date]]+1),MAX(0,Horaires3567310[[#This Row],[Fin corrigée si nuit]]-(1+deb_dimJF)),0))*24-
(IF(COUNTIF(JF,Horaires3567310[[#This Row],[Date]]),MAX(0,MIN(fin_dimJF,Horaires3567310[[#This Row],[PNP Fin corrigée]])-MAX(deb_dimJF,Horaires3567310[[#This Row],[PNP Début corrigé]])),0)+IF(COUNTIF(JF,Horaires3567310[[#This Row],[Date]]+1),MAX(0,Horaires3567310[[#This Row],[PNP Fin corrigée]]-(1+deb_dimJF)),0))*24</f>
        <v>0</v>
      </c>
    </row>
    <row r="32" spans="1:19" ht="14.5" customHeight="1" x14ac:dyDescent="0.35">
      <c r="A32" s="5"/>
      <c r="B32" s="1"/>
      <c r="C32" s="2"/>
      <c r="D32" s="2"/>
      <c r="E32" s="3"/>
      <c r="F32" s="3"/>
      <c r="G32" s="3"/>
      <c r="H32" s="3"/>
      <c r="I32" s="51">
        <f>0.1*(Horaires3567310[[#This Row],[Heures de nuit]]+Horaires3567310[[#This Row],[heures jour dimanche]]+Horaires3567310[[#This Row],[heures jour fériés]])</f>
        <v>0</v>
      </c>
      <c r="J32" s="52">
        <f>(MOD(Horaires3567310[[#This Row],[Fin]]-Horaires3567310[[#This Row],[début]],1)-MOD(Horaires3567310[[#This Row],[PNP Fin]]-Horaires3567310[[#This Row],[PNP Début]],1))*24</f>
        <v>0</v>
      </c>
      <c r="K32" s="53">
        <f>IF(Horaires3567310[[#This Row],[PNP Début]]=0,0,IF(Horaires3567310[[#This Row],[PNP Début]]&lt;Horaires3567310[[#This Row],[début]],1,0)+Horaires3567310[[#This Row],[PNP Début]])</f>
        <v>0</v>
      </c>
      <c r="L32" s="54">
        <f>IF(Horaires3567310[[#This Row],[PNP Fin]]=0,0,IF(Horaires3567310[[#This Row],[PNP Fin]]&lt;Horaires3567310[[#This Row],[début]],1,0)+Horaires3567310[[#This Row],[PNP Fin]])</f>
        <v>0</v>
      </c>
      <c r="M32" s="54">
        <f>IF(Horaires3567310[[#This Row],[Fin]]&lt;Horaires3567310[[#This Row],[début]],1,0)+Horaires3567310[[#This Row],[Fin]]</f>
        <v>0</v>
      </c>
      <c r="N32" s="35">
        <f>IF(Horaires3567310[[#This Row],[Fin]]&lt;Horaires3567310[[#This Row],[début]],MAX(0,MIN(Horaires3567310[[#This Row],[Fin corrigée si nuit]],fin_nuit)-MAX(Horaires3567310[[#This Row],[début]],deb_nuit))*24,(MAX(deb_nuit,Horaires3567310[[#This Row],[Fin]])-MAX(deb_nuit,Horaires3567310[[#This Row],[début]])+MAX(MIN(fin_nuit-1,Horaires3567310[[#This Row],[Fin]])-MIN(fin_nuit-1,Horaires3567310[[#This Row],[début]]),0))*24)</f>
        <v>0</v>
      </c>
      <c r="O32" s="55">
        <f>(MAX(0,MIN(Horaires3567310[[#This Row],[Fin corrigée si nuit]],fin_nuit)-MAX(Horaires3567310[[#This Row],[début]],deb_nuit))-IF(Horaires3567310[[#This Row],[PNP Début]]=0,0,MIN(Horaires3567310[[#This Row],[PNP Fin corrigée]],fin_nuit)-MAX(Horaires3567310[[#This Row],[PNP Début corrigé]],deb_nuit)))*24</f>
        <v>0</v>
      </c>
      <c r="P32" s="55">
        <f>(IF(WEEKDAY(Horaires3567310[[#This Row],[Date]],2)=7,MAX(0,MIN(fin_dimJF,Horaires3567310[[#This Row],[Fin corrigée si nuit]])-MAX(deb_dimJF,Horaires3567310[[#This Row],[début]])),0)+IF(WEEKDAY(Horaires3567310[[#This Row],[Date]],2)=6,MAX(0,Horaires3567310[[#This Row],[Fin corrigée si nuit]]-(1+deb_dimJF)),0))*24</f>
        <v>0</v>
      </c>
      <c r="Q32" s="55">
        <f>(IF(WEEKDAY(Horaires3567310[[#This Row],[Date]],2)=7,MAX(0,MIN(fin_dimJF,Horaires3567310[[#This Row],[Fin corrigée si nuit]])-MAX(deb_dimJF,Horaires3567310[[#This Row],[début]])),0)+IF(WEEKDAY(Horaires3567310[[#This Row],[Date]],2)=6,MAX(0,Horaires3567310[[#This Row],[Fin corrigée si nuit]]-(1+deb_dimJF)),0))*24-
(IF(WEEKDAY(Horaires3567310[[#This Row],[Date]],2)=7,MAX(0,MIN(fin_dimJF,Horaires3567310[[#This Row],[PNP Fin corrigée]])-MAX(deb_dimJF,Horaires3567310[[#This Row],[PNP Début corrigé]])),0)+IF(WEEKDAY(Horaires3567310[[#This Row],[Date]],2)=6,MAX(0,Horaires3567310[[#This Row],[PNP Fin corrigée]]-(1+deb_dimJF)),0))*24</f>
        <v>0</v>
      </c>
      <c r="R32" s="55">
        <f>(IF(COUNTIF(JF,Horaires3567310[[#This Row],[Date]]),MAX(0,MIN(fin_dimJF,Horaires3567310[[#This Row],[Fin corrigée si nuit]])-MAX(deb_dimJF,Horaires3567310[[#This Row],[début]])),0)+IF(COUNTIF(JF,Horaires3567310[[#This Row],[Date]]+1),MAX(0,Horaires3567310[[#This Row],[Fin corrigée si nuit]]-(1+deb_dimJF)),0))*24</f>
        <v>0</v>
      </c>
      <c r="S32" s="55">
        <f>(IF(COUNTIF(JF,Horaires3567310[[#This Row],[Date]]),MAX(0,MIN(fin_dimJF,Horaires3567310[[#This Row],[Fin corrigée si nuit]])-MAX(deb_dimJF,Horaires3567310[[#This Row],[début]])),0)+IF(COUNTIF(JF,Horaires3567310[[#This Row],[Date]]+1),MAX(0,Horaires3567310[[#This Row],[Fin corrigée si nuit]]-(1+deb_dimJF)),0))*24-
(IF(COUNTIF(JF,Horaires3567310[[#This Row],[Date]]),MAX(0,MIN(fin_dimJF,Horaires3567310[[#This Row],[PNP Fin corrigée]])-MAX(deb_dimJF,Horaires3567310[[#This Row],[PNP Début corrigé]])),0)+IF(COUNTIF(JF,Horaires3567310[[#This Row],[Date]]+1),MAX(0,Horaires3567310[[#This Row],[PNP Fin corrigée]]-(1+deb_dimJF)),0))*24</f>
        <v>0</v>
      </c>
    </row>
    <row r="33" spans="1:19" x14ac:dyDescent="0.35">
      <c r="A33" s="5"/>
      <c r="B33" s="1"/>
      <c r="C33" s="2"/>
      <c r="D33" s="2"/>
      <c r="E33" s="3"/>
      <c r="F33" s="3"/>
      <c r="G33" s="3"/>
      <c r="H33" s="3"/>
      <c r="I33" s="51">
        <f>0.1*(Horaires3567310[[#This Row],[Heures de nuit]]+Horaires3567310[[#This Row],[heures jour dimanche]]+Horaires3567310[[#This Row],[heures jour fériés]])</f>
        <v>0</v>
      </c>
      <c r="J33" s="52">
        <f>(MOD(Horaires3567310[[#This Row],[Fin]]-Horaires3567310[[#This Row],[début]],1)-MOD(Horaires3567310[[#This Row],[PNP Fin]]-Horaires3567310[[#This Row],[PNP Début]],1))*24</f>
        <v>0</v>
      </c>
      <c r="K33" s="53">
        <f>IF(Horaires3567310[[#This Row],[PNP Début]]=0,0,IF(Horaires3567310[[#This Row],[PNP Début]]&lt;Horaires3567310[[#This Row],[début]],1,0)+Horaires3567310[[#This Row],[PNP Début]])</f>
        <v>0</v>
      </c>
      <c r="L33" s="54">
        <f>IF(Horaires3567310[[#This Row],[PNP Fin]]=0,0,IF(Horaires3567310[[#This Row],[PNP Fin]]&lt;Horaires3567310[[#This Row],[début]],1,0)+Horaires3567310[[#This Row],[PNP Fin]])</f>
        <v>0</v>
      </c>
      <c r="M33" s="54">
        <f>IF(Horaires3567310[[#This Row],[Fin]]&lt;Horaires3567310[[#This Row],[début]],1,0)+Horaires3567310[[#This Row],[Fin]]</f>
        <v>0</v>
      </c>
      <c r="N33" s="35">
        <f>IF(Horaires3567310[[#This Row],[Fin]]&lt;Horaires3567310[[#This Row],[début]],MAX(0,MIN(Horaires3567310[[#This Row],[Fin corrigée si nuit]],fin_nuit)-MAX(Horaires3567310[[#This Row],[début]],deb_nuit))*24,(MAX(deb_nuit,Horaires3567310[[#This Row],[Fin]])-MAX(deb_nuit,Horaires3567310[[#This Row],[début]])+MAX(MIN(fin_nuit-1,Horaires3567310[[#This Row],[Fin]])-MIN(fin_nuit-1,Horaires3567310[[#This Row],[début]]),0))*24)</f>
        <v>0</v>
      </c>
      <c r="O33" s="55">
        <f>(MAX(0,MIN(Horaires3567310[[#This Row],[Fin corrigée si nuit]],fin_nuit)-MAX(Horaires3567310[[#This Row],[début]],deb_nuit))-IF(Horaires3567310[[#This Row],[PNP Début]]=0,0,MIN(Horaires3567310[[#This Row],[PNP Fin corrigée]],fin_nuit)-MAX(Horaires3567310[[#This Row],[PNP Début corrigé]],deb_nuit)))*24</f>
        <v>0</v>
      </c>
      <c r="P33" s="55">
        <f>(IF(WEEKDAY(Horaires3567310[[#This Row],[Date]],2)=7,MAX(0,MIN(fin_dimJF,Horaires3567310[[#This Row],[Fin corrigée si nuit]])-MAX(deb_dimJF,Horaires3567310[[#This Row],[début]])),0)+IF(WEEKDAY(Horaires3567310[[#This Row],[Date]],2)=6,MAX(0,Horaires3567310[[#This Row],[Fin corrigée si nuit]]-(1+deb_dimJF)),0))*24</f>
        <v>0</v>
      </c>
      <c r="Q33" s="55">
        <f>(IF(WEEKDAY(Horaires3567310[[#This Row],[Date]],2)=7,MAX(0,MIN(fin_dimJF,Horaires3567310[[#This Row],[Fin corrigée si nuit]])-MAX(deb_dimJF,Horaires3567310[[#This Row],[début]])),0)+IF(WEEKDAY(Horaires3567310[[#This Row],[Date]],2)=6,MAX(0,Horaires3567310[[#This Row],[Fin corrigée si nuit]]-(1+deb_dimJF)),0))*24-
(IF(WEEKDAY(Horaires3567310[[#This Row],[Date]],2)=7,MAX(0,MIN(fin_dimJF,Horaires3567310[[#This Row],[PNP Fin corrigée]])-MAX(deb_dimJF,Horaires3567310[[#This Row],[PNP Début corrigé]])),0)+IF(WEEKDAY(Horaires3567310[[#This Row],[Date]],2)=6,MAX(0,Horaires3567310[[#This Row],[PNP Fin corrigée]]-(1+deb_dimJF)),0))*24</f>
        <v>0</v>
      </c>
      <c r="R33" s="55">
        <f>(IF(COUNTIF(JF,Horaires3567310[[#This Row],[Date]]),MAX(0,MIN(fin_dimJF,Horaires3567310[[#This Row],[Fin corrigée si nuit]])-MAX(deb_dimJF,Horaires3567310[[#This Row],[début]])),0)+IF(COUNTIF(JF,Horaires3567310[[#This Row],[Date]]+1),MAX(0,Horaires3567310[[#This Row],[Fin corrigée si nuit]]-(1+deb_dimJF)),0))*24</f>
        <v>0</v>
      </c>
      <c r="S33" s="55">
        <f>(IF(COUNTIF(JF,Horaires3567310[[#This Row],[Date]]),MAX(0,MIN(fin_dimJF,Horaires3567310[[#This Row],[Fin corrigée si nuit]])-MAX(deb_dimJF,Horaires3567310[[#This Row],[début]])),0)+IF(COUNTIF(JF,Horaires3567310[[#This Row],[Date]]+1),MAX(0,Horaires3567310[[#This Row],[Fin corrigée si nuit]]-(1+deb_dimJF)),0))*24-
(IF(COUNTIF(JF,Horaires3567310[[#This Row],[Date]]),MAX(0,MIN(fin_dimJF,Horaires3567310[[#This Row],[PNP Fin corrigée]])-MAX(deb_dimJF,Horaires3567310[[#This Row],[PNP Début corrigé]])),0)+IF(COUNTIF(JF,Horaires3567310[[#This Row],[Date]]+1),MAX(0,Horaires3567310[[#This Row],[PNP Fin corrigée]]-(1+deb_dimJF)),0))*24</f>
        <v>0</v>
      </c>
    </row>
    <row r="34" spans="1:19" x14ac:dyDescent="0.35">
      <c r="A34" s="5"/>
      <c r="B34" s="1"/>
      <c r="C34" s="2"/>
      <c r="D34" s="2"/>
      <c r="E34" s="3"/>
      <c r="F34" s="3"/>
      <c r="G34" s="3"/>
      <c r="H34" s="3"/>
      <c r="I34" s="51">
        <f>0.1*(Horaires3567310[[#This Row],[Heures de nuit]]+Horaires3567310[[#This Row],[heures jour dimanche]]+Horaires3567310[[#This Row],[heures jour fériés]])</f>
        <v>0</v>
      </c>
      <c r="J34" s="52">
        <f>(MOD(Horaires3567310[[#This Row],[Fin]]-Horaires3567310[[#This Row],[début]],1)-MOD(Horaires3567310[[#This Row],[PNP Fin]]-Horaires3567310[[#This Row],[PNP Début]],1))*24</f>
        <v>0</v>
      </c>
      <c r="K34" s="53">
        <f>IF(Horaires3567310[[#This Row],[PNP Début]]=0,0,IF(Horaires3567310[[#This Row],[PNP Début]]&lt;Horaires3567310[[#This Row],[début]],1,0)+Horaires3567310[[#This Row],[PNP Début]])</f>
        <v>0</v>
      </c>
      <c r="L34" s="54">
        <f>IF(Horaires3567310[[#This Row],[PNP Fin]]=0,0,IF(Horaires3567310[[#This Row],[PNP Fin]]&lt;Horaires3567310[[#This Row],[début]],1,0)+Horaires3567310[[#This Row],[PNP Fin]])</f>
        <v>0</v>
      </c>
      <c r="M34" s="54">
        <f>IF(Horaires3567310[[#This Row],[Fin]]&lt;Horaires3567310[[#This Row],[début]],1,0)+Horaires3567310[[#This Row],[Fin]]</f>
        <v>0</v>
      </c>
      <c r="N34" s="35">
        <f>IF(Horaires3567310[[#This Row],[Fin]]&lt;Horaires3567310[[#This Row],[début]],MAX(0,MIN(Horaires3567310[[#This Row],[Fin corrigée si nuit]],fin_nuit)-MAX(Horaires3567310[[#This Row],[début]],deb_nuit))*24,(MAX(deb_nuit,Horaires3567310[[#This Row],[Fin]])-MAX(deb_nuit,Horaires3567310[[#This Row],[début]])+MAX(MIN(fin_nuit-1,Horaires3567310[[#This Row],[Fin]])-MIN(fin_nuit-1,Horaires3567310[[#This Row],[début]]),0))*24)</f>
        <v>0</v>
      </c>
      <c r="O34" s="55">
        <f>(MAX(0,MIN(Horaires3567310[[#This Row],[Fin corrigée si nuit]],fin_nuit)-MAX(Horaires3567310[[#This Row],[début]],deb_nuit))-IF(Horaires3567310[[#This Row],[PNP Début]]=0,0,MIN(Horaires3567310[[#This Row],[PNP Fin corrigée]],fin_nuit)-MAX(Horaires3567310[[#This Row],[PNP Début corrigé]],deb_nuit)))*24</f>
        <v>0</v>
      </c>
      <c r="P34" s="55">
        <f>(IF(WEEKDAY(Horaires3567310[[#This Row],[Date]],2)=7,MAX(0,MIN(fin_dimJF,Horaires3567310[[#This Row],[Fin corrigée si nuit]])-MAX(deb_dimJF,Horaires3567310[[#This Row],[début]])),0)+IF(WEEKDAY(Horaires3567310[[#This Row],[Date]],2)=6,MAX(0,Horaires3567310[[#This Row],[Fin corrigée si nuit]]-(1+deb_dimJF)),0))*24</f>
        <v>0</v>
      </c>
      <c r="Q34" s="55">
        <f>(IF(WEEKDAY(Horaires3567310[[#This Row],[Date]],2)=7,MAX(0,MIN(fin_dimJF,Horaires3567310[[#This Row],[Fin corrigée si nuit]])-MAX(deb_dimJF,Horaires3567310[[#This Row],[début]])),0)+IF(WEEKDAY(Horaires3567310[[#This Row],[Date]],2)=6,MAX(0,Horaires3567310[[#This Row],[Fin corrigée si nuit]]-(1+deb_dimJF)),0))*24-
(IF(WEEKDAY(Horaires3567310[[#This Row],[Date]],2)=7,MAX(0,MIN(fin_dimJF,Horaires3567310[[#This Row],[PNP Fin corrigée]])-MAX(deb_dimJF,Horaires3567310[[#This Row],[PNP Début corrigé]])),0)+IF(WEEKDAY(Horaires3567310[[#This Row],[Date]],2)=6,MAX(0,Horaires3567310[[#This Row],[PNP Fin corrigée]]-(1+deb_dimJF)),0))*24</f>
        <v>0</v>
      </c>
      <c r="R34" s="55">
        <f>(IF(COUNTIF(JF,Horaires3567310[[#This Row],[Date]]),MAX(0,MIN(fin_dimJF,Horaires3567310[[#This Row],[Fin corrigée si nuit]])-MAX(deb_dimJF,Horaires3567310[[#This Row],[début]])),0)+IF(COUNTIF(JF,Horaires3567310[[#This Row],[Date]]+1),MAX(0,Horaires3567310[[#This Row],[Fin corrigée si nuit]]-(1+deb_dimJF)),0))*24</f>
        <v>0</v>
      </c>
      <c r="S34" s="55">
        <f>(IF(COUNTIF(JF,Horaires3567310[[#This Row],[Date]]),MAX(0,MIN(fin_dimJF,Horaires3567310[[#This Row],[Fin corrigée si nuit]])-MAX(deb_dimJF,Horaires3567310[[#This Row],[début]])),0)+IF(COUNTIF(JF,Horaires3567310[[#This Row],[Date]]+1),MAX(0,Horaires3567310[[#This Row],[Fin corrigée si nuit]]-(1+deb_dimJF)),0))*24-
(IF(COUNTIF(JF,Horaires3567310[[#This Row],[Date]]),MAX(0,MIN(fin_dimJF,Horaires3567310[[#This Row],[PNP Fin corrigée]])-MAX(deb_dimJF,Horaires3567310[[#This Row],[PNP Début corrigé]])),0)+IF(COUNTIF(JF,Horaires3567310[[#This Row],[Date]]+1),MAX(0,Horaires3567310[[#This Row],[PNP Fin corrigée]]-(1+deb_dimJF)),0))*24</f>
        <v>0</v>
      </c>
    </row>
    <row r="35" spans="1:19" x14ac:dyDescent="0.35">
      <c r="A35" s="5"/>
      <c r="B35" s="1"/>
      <c r="C35" s="2"/>
      <c r="D35" s="2"/>
      <c r="E35" s="3"/>
      <c r="F35" s="3"/>
      <c r="G35" s="3"/>
      <c r="H35" s="3"/>
      <c r="I35" s="51">
        <f>0.1*(Horaires3567310[[#This Row],[Heures de nuit]]+Horaires3567310[[#This Row],[heures jour dimanche]]+Horaires3567310[[#This Row],[heures jour fériés]])</f>
        <v>0</v>
      </c>
      <c r="J35" s="52">
        <f>(MOD(Horaires3567310[[#This Row],[Fin]]-Horaires3567310[[#This Row],[début]],1)-MOD(Horaires3567310[[#This Row],[PNP Fin]]-Horaires3567310[[#This Row],[PNP Début]],1))*24</f>
        <v>0</v>
      </c>
      <c r="K35" s="53">
        <f>IF(Horaires3567310[[#This Row],[PNP Début]]=0,0,IF(Horaires3567310[[#This Row],[PNP Début]]&lt;Horaires3567310[[#This Row],[début]],1,0)+Horaires3567310[[#This Row],[PNP Début]])</f>
        <v>0</v>
      </c>
      <c r="L35" s="54">
        <f>IF(Horaires3567310[[#This Row],[PNP Fin]]=0,0,IF(Horaires3567310[[#This Row],[PNP Fin]]&lt;Horaires3567310[[#This Row],[début]],1,0)+Horaires3567310[[#This Row],[PNP Fin]])</f>
        <v>0</v>
      </c>
      <c r="M35" s="54">
        <f>IF(Horaires3567310[[#This Row],[Fin]]&lt;Horaires3567310[[#This Row],[début]],1,0)+Horaires3567310[[#This Row],[Fin]]</f>
        <v>0</v>
      </c>
      <c r="N35" s="35">
        <f>IF(Horaires3567310[[#This Row],[Fin]]&lt;Horaires3567310[[#This Row],[début]],MAX(0,MIN(Horaires3567310[[#This Row],[Fin corrigée si nuit]],fin_nuit)-MAX(Horaires3567310[[#This Row],[début]],deb_nuit))*24,(MAX(deb_nuit,Horaires3567310[[#This Row],[Fin]])-MAX(deb_nuit,Horaires3567310[[#This Row],[début]])+MAX(MIN(fin_nuit-1,Horaires3567310[[#This Row],[Fin]])-MIN(fin_nuit-1,Horaires3567310[[#This Row],[début]]),0))*24)</f>
        <v>0</v>
      </c>
      <c r="O35" s="55">
        <f>(MAX(0,MIN(Horaires3567310[[#This Row],[Fin corrigée si nuit]],fin_nuit)-MAX(Horaires3567310[[#This Row],[début]],deb_nuit))-IF(Horaires3567310[[#This Row],[PNP Début]]=0,0,MIN(Horaires3567310[[#This Row],[PNP Fin corrigée]],fin_nuit)-MAX(Horaires3567310[[#This Row],[PNP Début corrigé]],deb_nuit)))*24</f>
        <v>0</v>
      </c>
      <c r="P35" s="55">
        <f>(IF(WEEKDAY(Horaires3567310[[#This Row],[Date]],2)=7,MAX(0,MIN(fin_dimJF,Horaires3567310[[#This Row],[Fin corrigée si nuit]])-MAX(deb_dimJF,Horaires3567310[[#This Row],[début]])),0)+IF(WEEKDAY(Horaires3567310[[#This Row],[Date]],2)=6,MAX(0,Horaires3567310[[#This Row],[Fin corrigée si nuit]]-(1+deb_dimJF)),0))*24</f>
        <v>0</v>
      </c>
      <c r="Q35" s="55">
        <f>(IF(WEEKDAY(Horaires3567310[[#This Row],[Date]],2)=7,MAX(0,MIN(fin_dimJF,Horaires3567310[[#This Row],[Fin corrigée si nuit]])-MAX(deb_dimJF,Horaires3567310[[#This Row],[début]])),0)+IF(WEEKDAY(Horaires3567310[[#This Row],[Date]],2)=6,MAX(0,Horaires3567310[[#This Row],[Fin corrigée si nuit]]-(1+deb_dimJF)),0))*24-
(IF(WEEKDAY(Horaires3567310[[#This Row],[Date]],2)=7,MAX(0,MIN(fin_dimJF,Horaires3567310[[#This Row],[PNP Fin corrigée]])-MAX(deb_dimJF,Horaires3567310[[#This Row],[PNP Début corrigé]])),0)+IF(WEEKDAY(Horaires3567310[[#This Row],[Date]],2)=6,MAX(0,Horaires3567310[[#This Row],[PNP Fin corrigée]]-(1+deb_dimJF)),0))*24</f>
        <v>0</v>
      </c>
      <c r="R35" s="55">
        <f>(IF(COUNTIF(JF,Horaires3567310[[#This Row],[Date]]),MAX(0,MIN(fin_dimJF,Horaires3567310[[#This Row],[Fin corrigée si nuit]])-MAX(deb_dimJF,Horaires3567310[[#This Row],[début]])),0)+IF(COUNTIF(JF,Horaires3567310[[#This Row],[Date]]+1),MAX(0,Horaires3567310[[#This Row],[Fin corrigée si nuit]]-(1+deb_dimJF)),0))*24</f>
        <v>0</v>
      </c>
      <c r="S35" s="55">
        <f>(IF(COUNTIF(JF,Horaires3567310[[#This Row],[Date]]),MAX(0,MIN(fin_dimJF,Horaires3567310[[#This Row],[Fin corrigée si nuit]])-MAX(deb_dimJF,Horaires3567310[[#This Row],[début]])),0)+IF(COUNTIF(JF,Horaires3567310[[#This Row],[Date]]+1),MAX(0,Horaires3567310[[#This Row],[Fin corrigée si nuit]]-(1+deb_dimJF)),0))*24-
(IF(COUNTIF(JF,Horaires3567310[[#This Row],[Date]]),MAX(0,MIN(fin_dimJF,Horaires3567310[[#This Row],[PNP Fin corrigée]])-MAX(deb_dimJF,Horaires3567310[[#This Row],[PNP Début corrigé]])),0)+IF(COUNTIF(JF,Horaires3567310[[#This Row],[Date]]+1),MAX(0,Horaires3567310[[#This Row],[PNP Fin corrigée]]-(1+deb_dimJF)),0))*24</f>
        <v>0</v>
      </c>
    </row>
    <row r="36" spans="1:19" x14ac:dyDescent="0.35">
      <c r="A36" s="5"/>
      <c r="B36" s="1"/>
      <c r="C36" s="2"/>
      <c r="D36" s="2"/>
      <c r="E36" s="3"/>
      <c r="F36" s="3"/>
      <c r="G36" s="3"/>
      <c r="H36" s="3"/>
      <c r="I36" s="51">
        <f>0.1*(Horaires3567310[[#This Row],[Heures de nuit]]+Horaires3567310[[#This Row],[heures jour dimanche]]+Horaires3567310[[#This Row],[heures jour fériés]])</f>
        <v>0</v>
      </c>
      <c r="J36" s="52">
        <f>(MOD(Horaires3567310[[#This Row],[Fin]]-Horaires3567310[[#This Row],[début]],1)-MOD(Horaires3567310[[#This Row],[PNP Fin]]-Horaires3567310[[#This Row],[PNP Début]],1))*24</f>
        <v>0</v>
      </c>
      <c r="K36" s="53">
        <f>IF(Horaires3567310[[#This Row],[PNP Début]]=0,0,IF(Horaires3567310[[#This Row],[PNP Début]]&lt;Horaires3567310[[#This Row],[début]],1,0)+Horaires3567310[[#This Row],[PNP Début]])</f>
        <v>0</v>
      </c>
      <c r="L36" s="54">
        <f>IF(Horaires3567310[[#This Row],[PNP Fin]]=0,0,IF(Horaires3567310[[#This Row],[PNP Fin]]&lt;Horaires3567310[[#This Row],[début]],1,0)+Horaires3567310[[#This Row],[PNP Fin]])</f>
        <v>0</v>
      </c>
      <c r="M36" s="54">
        <f>IF(Horaires3567310[[#This Row],[Fin]]&lt;Horaires3567310[[#This Row],[début]],1,0)+Horaires3567310[[#This Row],[Fin]]</f>
        <v>0</v>
      </c>
      <c r="N36" s="35">
        <f>IF(Horaires3567310[[#This Row],[Fin]]&lt;Horaires3567310[[#This Row],[début]],MAX(0,MIN(Horaires3567310[[#This Row],[Fin corrigée si nuit]],fin_nuit)-MAX(Horaires3567310[[#This Row],[début]],deb_nuit))*24,(MAX(deb_nuit,Horaires3567310[[#This Row],[Fin]])-MAX(deb_nuit,Horaires3567310[[#This Row],[début]])+MAX(MIN(fin_nuit-1,Horaires3567310[[#This Row],[Fin]])-MIN(fin_nuit-1,Horaires3567310[[#This Row],[début]]),0))*24)</f>
        <v>0</v>
      </c>
      <c r="O36" s="55">
        <f>(MAX(0,MIN(Horaires3567310[[#This Row],[Fin corrigée si nuit]],fin_nuit)-MAX(Horaires3567310[[#This Row],[début]],deb_nuit))-IF(Horaires3567310[[#This Row],[PNP Début]]=0,0,MIN(Horaires3567310[[#This Row],[PNP Fin corrigée]],fin_nuit)-MAX(Horaires3567310[[#This Row],[PNP Début corrigé]],deb_nuit)))*24</f>
        <v>0</v>
      </c>
      <c r="P36" s="55">
        <f>(IF(WEEKDAY(Horaires3567310[[#This Row],[Date]],2)=7,MAX(0,MIN(fin_dimJF,Horaires3567310[[#This Row],[Fin corrigée si nuit]])-MAX(deb_dimJF,Horaires3567310[[#This Row],[début]])),0)+IF(WEEKDAY(Horaires3567310[[#This Row],[Date]],2)=6,MAX(0,Horaires3567310[[#This Row],[Fin corrigée si nuit]]-(1+deb_dimJF)),0))*24</f>
        <v>0</v>
      </c>
      <c r="Q36" s="55">
        <f>(IF(WEEKDAY(Horaires3567310[[#This Row],[Date]],2)=7,MAX(0,MIN(fin_dimJF,Horaires3567310[[#This Row],[Fin corrigée si nuit]])-MAX(deb_dimJF,Horaires3567310[[#This Row],[début]])),0)+IF(WEEKDAY(Horaires3567310[[#This Row],[Date]],2)=6,MAX(0,Horaires3567310[[#This Row],[Fin corrigée si nuit]]-(1+deb_dimJF)),0))*24-
(IF(WEEKDAY(Horaires3567310[[#This Row],[Date]],2)=7,MAX(0,MIN(fin_dimJF,Horaires3567310[[#This Row],[PNP Fin corrigée]])-MAX(deb_dimJF,Horaires3567310[[#This Row],[PNP Début corrigé]])),0)+IF(WEEKDAY(Horaires3567310[[#This Row],[Date]],2)=6,MAX(0,Horaires3567310[[#This Row],[PNP Fin corrigée]]-(1+deb_dimJF)),0))*24</f>
        <v>0</v>
      </c>
      <c r="R36" s="55">
        <f>(IF(COUNTIF(JF,Horaires3567310[[#This Row],[Date]]),MAX(0,MIN(fin_dimJF,Horaires3567310[[#This Row],[Fin corrigée si nuit]])-MAX(deb_dimJF,Horaires3567310[[#This Row],[début]])),0)+IF(COUNTIF(JF,Horaires3567310[[#This Row],[Date]]+1),MAX(0,Horaires3567310[[#This Row],[Fin corrigée si nuit]]-(1+deb_dimJF)),0))*24</f>
        <v>0</v>
      </c>
      <c r="S36" s="55">
        <f>(IF(COUNTIF(JF,Horaires3567310[[#This Row],[Date]]),MAX(0,MIN(fin_dimJF,Horaires3567310[[#This Row],[Fin corrigée si nuit]])-MAX(deb_dimJF,Horaires3567310[[#This Row],[début]])),0)+IF(COUNTIF(JF,Horaires3567310[[#This Row],[Date]]+1),MAX(0,Horaires3567310[[#This Row],[Fin corrigée si nuit]]-(1+deb_dimJF)),0))*24-
(IF(COUNTIF(JF,Horaires3567310[[#This Row],[Date]]),MAX(0,MIN(fin_dimJF,Horaires3567310[[#This Row],[PNP Fin corrigée]])-MAX(deb_dimJF,Horaires3567310[[#This Row],[PNP Début corrigé]])),0)+IF(COUNTIF(JF,Horaires3567310[[#This Row],[Date]]+1),MAX(0,Horaires3567310[[#This Row],[PNP Fin corrigée]]-(1+deb_dimJF)),0))*24</f>
        <v>0</v>
      </c>
    </row>
    <row r="37" spans="1:19" x14ac:dyDescent="0.35">
      <c r="A37" s="5"/>
      <c r="B37" s="1"/>
      <c r="C37" s="2"/>
      <c r="D37" s="2"/>
      <c r="E37" s="3"/>
      <c r="F37" s="3"/>
      <c r="G37" s="3"/>
      <c r="H37" s="3"/>
      <c r="I37" s="51">
        <f>0.1*(Horaires3567310[[#This Row],[Heures de nuit]]+Horaires3567310[[#This Row],[heures jour dimanche]]+Horaires3567310[[#This Row],[heures jour fériés]])</f>
        <v>0</v>
      </c>
      <c r="J37" s="52">
        <f>(MOD(Horaires3567310[[#This Row],[Fin]]-Horaires3567310[[#This Row],[début]],1)-MOD(Horaires3567310[[#This Row],[PNP Fin]]-Horaires3567310[[#This Row],[PNP Début]],1))*24</f>
        <v>0</v>
      </c>
      <c r="K37" s="53">
        <f>IF(Horaires3567310[[#This Row],[PNP Début]]=0,0,IF(Horaires3567310[[#This Row],[PNP Début]]&lt;Horaires3567310[[#This Row],[début]],1,0)+Horaires3567310[[#This Row],[PNP Début]])</f>
        <v>0</v>
      </c>
      <c r="L37" s="54">
        <f>IF(Horaires3567310[[#This Row],[PNP Fin]]=0,0,IF(Horaires3567310[[#This Row],[PNP Fin]]&lt;Horaires3567310[[#This Row],[début]],1,0)+Horaires3567310[[#This Row],[PNP Fin]])</f>
        <v>0</v>
      </c>
      <c r="M37" s="54">
        <f>IF(Horaires3567310[[#This Row],[Fin]]&lt;Horaires3567310[[#This Row],[début]],1,0)+Horaires3567310[[#This Row],[Fin]]</f>
        <v>0</v>
      </c>
      <c r="N37" s="35">
        <f>IF(Horaires3567310[[#This Row],[Fin]]&lt;Horaires3567310[[#This Row],[début]],MAX(0,MIN(Horaires3567310[[#This Row],[Fin corrigée si nuit]],fin_nuit)-MAX(Horaires3567310[[#This Row],[début]],deb_nuit))*24,(MAX(deb_nuit,Horaires3567310[[#This Row],[Fin]])-MAX(deb_nuit,Horaires3567310[[#This Row],[début]])+MAX(MIN(fin_nuit-1,Horaires3567310[[#This Row],[Fin]])-MIN(fin_nuit-1,Horaires3567310[[#This Row],[début]]),0))*24)</f>
        <v>0</v>
      </c>
      <c r="O37" s="55">
        <f>(MAX(0,MIN(Horaires3567310[[#This Row],[Fin corrigée si nuit]],fin_nuit)-MAX(Horaires3567310[[#This Row],[début]],deb_nuit))-IF(Horaires3567310[[#This Row],[PNP Début]]=0,0,MIN(Horaires3567310[[#This Row],[PNP Fin corrigée]],fin_nuit)-MAX(Horaires3567310[[#This Row],[PNP Début corrigé]],deb_nuit)))*24</f>
        <v>0</v>
      </c>
      <c r="P37" s="55">
        <f>(IF(WEEKDAY(Horaires3567310[[#This Row],[Date]],2)=7,MAX(0,MIN(fin_dimJF,Horaires3567310[[#This Row],[Fin corrigée si nuit]])-MAX(deb_dimJF,Horaires3567310[[#This Row],[début]])),0)+IF(WEEKDAY(Horaires3567310[[#This Row],[Date]],2)=6,MAX(0,Horaires3567310[[#This Row],[Fin corrigée si nuit]]-(1+deb_dimJF)),0))*24</f>
        <v>0</v>
      </c>
      <c r="Q37" s="55">
        <f>(IF(WEEKDAY(Horaires3567310[[#This Row],[Date]],2)=7,MAX(0,MIN(fin_dimJF,Horaires3567310[[#This Row],[Fin corrigée si nuit]])-MAX(deb_dimJF,Horaires3567310[[#This Row],[début]])),0)+IF(WEEKDAY(Horaires3567310[[#This Row],[Date]],2)=6,MAX(0,Horaires3567310[[#This Row],[Fin corrigée si nuit]]-(1+deb_dimJF)),0))*24-
(IF(WEEKDAY(Horaires3567310[[#This Row],[Date]],2)=7,MAX(0,MIN(fin_dimJF,Horaires3567310[[#This Row],[PNP Fin corrigée]])-MAX(deb_dimJF,Horaires3567310[[#This Row],[PNP Début corrigé]])),0)+IF(WEEKDAY(Horaires3567310[[#This Row],[Date]],2)=6,MAX(0,Horaires3567310[[#This Row],[PNP Fin corrigée]]-(1+deb_dimJF)),0))*24</f>
        <v>0</v>
      </c>
      <c r="R37" s="55">
        <f>(IF(COUNTIF(JF,Horaires3567310[[#This Row],[Date]]),MAX(0,MIN(fin_dimJF,Horaires3567310[[#This Row],[Fin corrigée si nuit]])-MAX(deb_dimJF,Horaires3567310[[#This Row],[début]])),0)+IF(COUNTIF(JF,Horaires3567310[[#This Row],[Date]]+1),MAX(0,Horaires3567310[[#This Row],[Fin corrigée si nuit]]-(1+deb_dimJF)),0))*24</f>
        <v>0</v>
      </c>
      <c r="S37" s="55">
        <f>(IF(COUNTIF(JF,Horaires3567310[[#This Row],[Date]]),MAX(0,MIN(fin_dimJF,Horaires3567310[[#This Row],[Fin corrigée si nuit]])-MAX(deb_dimJF,Horaires3567310[[#This Row],[début]])),0)+IF(COUNTIF(JF,Horaires3567310[[#This Row],[Date]]+1),MAX(0,Horaires3567310[[#This Row],[Fin corrigée si nuit]]-(1+deb_dimJF)),0))*24-
(IF(COUNTIF(JF,Horaires3567310[[#This Row],[Date]]),MAX(0,MIN(fin_dimJF,Horaires3567310[[#This Row],[PNP Fin corrigée]])-MAX(deb_dimJF,Horaires3567310[[#This Row],[PNP Début corrigé]])),0)+IF(COUNTIF(JF,Horaires3567310[[#This Row],[Date]]+1),MAX(0,Horaires3567310[[#This Row],[PNP Fin corrigée]]-(1+deb_dimJF)),0))*24</f>
        <v>0</v>
      </c>
    </row>
    <row r="38" spans="1:19" x14ac:dyDescent="0.35">
      <c r="A38" s="5"/>
      <c r="B38" s="1"/>
      <c r="C38" s="2"/>
      <c r="D38" s="2"/>
      <c r="E38" s="3"/>
      <c r="F38" s="3"/>
      <c r="G38" s="3"/>
      <c r="H38" s="3"/>
      <c r="I38" s="51">
        <f>0.1*(Horaires3567310[[#This Row],[Heures de nuit]]+Horaires3567310[[#This Row],[heures jour dimanche]]+Horaires3567310[[#This Row],[heures jour fériés]])</f>
        <v>0</v>
      </c>
      <c r="J38" s="52">
        <f>(MOD(Horaires3567310[[#This Row],[Fin]]-Horaires3567310[[#This Row],[début]],1)-MOD(Horaires3567310[[#This Row],[PNP Fin]]-Horaires3567310[[#This Row],[PNP Début]],1))*24</f>
        <v>0</v>
      </c>
      <c r="K38" s="53">
        <f>IF(Horaires3567310[[#This Row],[PNP Début]]=0,0,IF(Horaires3567310[[#This Row],[PNP Début]]&lt;Horaires3567310[[#This Row],[début]],1,0)+Horaires3567310[[#This Row],[PNP Début]])</f>
        <v>0</v>
      </c>
      <c r="L38" s="54">
        <f>IF(Horaires3567310[[#This Row],[PNP Fin]]=0,0,IF(Horaires3567310[[#This Row],[PNP Fin]]&lt;Horaires3567310[[#This Row],[début]],1,0)+Horaires3567310[[#This Row],[PNP Fin]])</f>
        <v>0</v>
      </c>
      <c r="M38" s="54">
        <f>IF(Horaires3567310[[#This Row],[Fin]]&lt;Horaires3567310[[#This Row],[début]],1,0)+Horaires3567310[[#This Row],[Fin]]</f>
        <v>0</v>
      </c>
      <c r="N38" s="35">
        <f>IF(Horaires3567310[[#This Row],[Fin]]&lt;Horaires3567310[[#This Row],[début]],MAX(0,MIN(Horaires3567310[[#This Row],[Fin corrigée si nuit]],fin_nuit)-MAX(Horaires3567310[[#This Row],[début]],deb_nuit))*24,(MAX(deb_nuit,Horaires3567310[[#This Row],[Fin]])-MAX(deb_nuit,Horaires3567310[[#This Row],[début]])+MAX(MIN(fin_nuit-1,Horaires3567310[[#This Row],[Fin]])-MIN(fin_nuit-1,Horaires3567310[[#This Row],[début]]),0))*24)</f>
        <v>0</v>
      </c>
      <c r="O38" s="55">
        <f>(MAX(0,MIN(Horaires3567310[[#This Row],[Fin corrigée si nuit]],fin_nuit)-MAX(Horaires3567310[[#This Row],[début]],deb_nuit))-IF(Horaires3567310[[#This Row],[PNP Début]]=0,0,MIN(Horaires3567310[[#This Row],[PNP Fin corrigée]],fin_nuit)-MAX(Horaires3567310[[#This Row],[PNP Début corrigé]],deb_nuit)))*24</f>
        <v>0</v>
      </c>
      <c r="P38" s="55">
        <f>(IF(WEEKDAY(Horaires3567310[[#This Row],[Date]],2)=7,MAX(0,MIN(fin_dimJF,Horaires3567310[[#This Row],[Fin corrigée si nuit]])-MAX(deb_dimJF,Horaires3567310[[#This Row],[début]])),0)+IF(WEEKDAY(Horaires3567310[[#This Row],[Date]],2)=6,MAX(0,Horaires3567310[[#This Row],[Fin corrigée si nuit]]-(1+deb_dimJF)),0))*24</f>
        <v>0</v>
      </c>
      <c r="Q38" s="55">
        <f>(IF(WEEKDAY(Horaires3567310[[#This Row],[Date]],2)=7,MAX(0,MIN(fin_dimJF,Horaires3567310[[#This Row],[Fin corrigée si nuit]])-MAX(deb_dimJF,Horaires3567310[[#This Row],[début]])),0)+IF(WEEKDAY(Horaires3567310[[#This Row],[Date]],2)=6,MAX(0,Horaires3567310[[#This Row],[Fin corrigée si nuit]]-(1+deb_dimJF)),0))*24-
(IF(WEEKDAY(Horaires3567310[[#This Row],[Date]],2)=7,MAX(0,MIN(fin_dimJF,Horaires3567310[[#This Row],[PNP Fin corrigée]])-MAX(deb_dimJF,Horaires3567310[[#This Row],[PNP Début corrigé]])),0)+IF(WEEKDAY(Horaires3567310[[#This Row],[Date]],2)=6,MAX(0,Horaires3567310[[#This Row],[PNP Fin corrigée]]-(1+deb_dimJF)),0))*24</f>
        <v>0</v>
      </c>
      <c r="R38" s="55">
        <f>(IF(COUNTIF(JF,Horaires3567310[[#This Row],[Date]]),MAX(0,MIN(fin_dimJF,Horaires3567310[[#This Row],[Fin corrigée si nuit]])-MAX(deb_dimJF,Horaires3567310[[#This Row],[début]])),0)+IF(COUNTIF(JF,Horaires3567310[[#This Row],[Date]]+1),MAX(0,Horaires3567310[[#This Row],[Fin corrigée si nuit]]-(1+deb_dimJF)),0))*24</f>
        <v>0</v>
      </c>
      <c r="S38" s="55">
        <f>(IF(COUNTIF(JF,Horaires3567310[[#This Row],[Date]]),MAX(0,MIN(fin_dimJF,Horaires3567310[[#This Row],[Fin corrigée si nuit]])-MAX(deb_dimJF,Horaires3567310[[#This Row],[début]])),0)+IF(COUNTIF(JF,Horaires3567310[[#This Row],[Date]]+1),MAX(0,Horaires3567310[[#This Row],[Fin corrigée si nuit]]-(1+deb_dimJF)),0))*24-
(IF(COUNTIF(JF,Horaires3567310[[#This Row],[Date]]),MAX(0,MIN(fin_dimJF,Horaires3567310[[#This Row],[PNP Fin corrigée]])-MAX(deb_dimJF,Horaires3567310[[#This Row],[PNP Début corrigé]])),0)+IF(COUNTIF(JF,Horaires3567310[[#This Row],[Date]]+1),MAX(0,Horaires3567310[[#This Row],[PNP Fin corrigée]]-(1+deb_dimJF)),0))*24</f>
        <v>0</v>
      </c>
    </row>
    <row r="39" spans="1:19" x14ac:dyDescent="0.35">
      <c r="A39" s="5"/>
      <c r="B39" s="1"/>
      <c r="C39" s="2"/>
      <c r="D39" s="2"/>
      <c r="E39" s="3"/>
      <c r="F39" s="3"/>
      <c r="G39" s="3"/>
      <c r="H39" s="3"/>
      <c r="I39" s="51">
        <f>0.1*(Horaires3567310[[#This Row],[Heures de nuit]]+Horaires3567310[[#This Row],[heures jour dimanche]]+Horaires3567310[[#This Row],[heures jour fériés]])</f>
        <v>0</v>
      </c>
      <c r="J39" s="52">
        <f>(MOD(Horaires3567310[[#This Row],[Fin]]-Horaires3567310[[#This Row],[début]],1)-MOD(Horaires3567310[[#This Row],[PNP Fin]]-Horaires3567310[[#This Row],[PNP Début]],1))*24</f>
        <v>0</v>
      </c>
      <c r="K39" s="53">
        <f>IF(Horaires3567310[[#This Row],[PNP Début]]=0,0,IF(Horaires3567310[[#This Row],[PNP Début]]&lt;Horaires3567310[[#This Row],[début]],1,0)+Horaires3567310[[#This Row],[PNP Début]])</f>
        <v>0</v>
      </c>
      <c r="L39" s="54">
        <f>IF(Horaires3567310[[#This Row],[PNP Fin]]=0,0,IF(Horaires3567310[[#This Row],[PNP Fin]]&lt;Horaires3567310[[#This Row],[début]],1,0)+Horaires3567310[[#This Row],[PNP Fin]])</f>
        <v>0</v>
      </c>
      <c r="M39" s="54">
        <f>IF(Horaires3567310[[#This Row],[Fin]]&lt;Horaires3567310[[#This Row],[début]],1,0)+Horaires3567310[[#This Row],[Fin]]</f>
        <v>0</v>
      </c>
      <c r="N39" s="35">
        <f>IF(Horaires3567310[[#This Row],[Fin]]&lt;Horaires3567310[[#This Row],[début]],MAX(0,MIN(Horaires3567310[[#This Row],[Fin corrigée si nuit]],fin_nuit)-MAX(Horaires3567310[[#This Row],[début]],deb_nuit))*24,(MAX(deb_nuit,Horaires3567310[[#This Row],[Fin]])-MAX(deb_nuit,Horaires3567310[[#This Row],[début]])+MAX(MIN(fin_nuit-1,Horaires3567310[[#This Row],[Fin]])-MIN(fin_nuit-1,Horaires3567310[[#This Row],[début]]),0))*24)</f>
        <v>0</v>
      </c>
      <c r="O39" s="55">
        <f>(MAX(0,MIN(Horaires3567310[[#This Row],[Fin corrigée si nuit]],fin_nuit)-MAX(Horaires3567310[[#This Row],[début]],deb_nuit))-IF(Horaires3567310[[#This Row],[PNP Début]]=0,0,MIN(Horaires3567310[[#This Row],[PNP Fin corrigée]],fin_nuit)-MAX(Horaires3567310[[#This Row],[PNP Début corrigé]],deb_nuit)))*24</f>
        <v>0</v>
      </c>
      <c r="P39" s="55">
        <f>(IF(WEEKDAY(Horaires3567310[[#This Row],[Date]],2)=7,MAX(0,MIN(fin_dimJF,Horaires3567310[[#This Row],[Fin corrigée si nuit]])-MAX(deb_dimJF,Horaires3567310[[#This Row],[début]])),0)+IF(WEEKDAY(Horaires3567310[[#This Row],[Date]],2)=6,MAX(0,Horaires3567310[[#This Row],[Fin corrigée si nuit]]-(1+deb_dimJF)),0))*24</f>
        <v>0</v>
      </c>
      <c r="Q39" s="55">
        <f>(IF(WEEKDAY(Horaires3567310[[#This Row],[Date]],2)=7,MAX(0,MIN(fin_dimJF,Horaires3567310[[#This Row],[Fin corrigée si nuit]])-MAX(deb_dimJF,Horaires3567310[[#This Row],[début]])),0)+IF(WEEKDAY(Horaires3567310[[#This Row],[Date]],2)=6,MAX(0,Horaires3567310[[#This Row],[Fin corrigée si nuit]]-(1+deb_dimJF)),0))*24-
(IF(WEEKDAY(Horaires3567310[[#This Row],[Date]],2)=7,MAX(0,MIN(fin_dimJF,Horaires3567310[[#This Row],[PNP Fin corrigée]])-MAX(deb_dimJF,Horaires3567310[[#This Row],[PNP Début corrigé]])),0)+IF(WEEKDAY(Horaires3567310[[#This Row],[Date]],2)=6,MAX(0,Horaires3567310[[#This Row],[PNP Fin corrigée]]-(1+deb_dimJF)),0))*24</f>
        <v>0</v>
      </c>
      <c r="R39" s="55">
        <f>(IF(COUNTIF(JF,Horaires3567310[[#This Row],[Date]]),MAX(0,MIN(fin_dimJF,Horaires3567310[[#This Row],[Fin corrigée si nuit]])-MAX(deb_dimJF,Horaires3567310[[#This Row],[début]])),0)+IF(COUNTIF(JF,Horaires3567310[[#This Row],[Date]]+1),MAX(0,Horaires3567310[[#This Row],[Fin corrigée si nuit]]-(1+deb_dimJF)),0))*24</f>
        <v>0</v>
      </c>
      <c r="S39" s="55">
        <f>(IF(COUNTIF(JF,Horaires3567310[[#This Row],[Date]]),MAX(0,MIN(fin_dimJF,Horaires3567310[[#This Row],[Fin corrigée si nuit]])-MAX(deb_dimJF,Horaires3567310[[#This Row],[début]])),0)+IF(COUNTIF(JF,Horaires3567310[[#This Row],[Date]]+1),MAX(0,Horaires3567310[[#This Row],[Fin corrigée si nuit]]-(1+deb_dimJF)),0))*24-
(IF(COUNTIF(JF,Horaires3567310[[#This Row],[Date]]),MAX(0,MIN(fin_dimJF,Horaires3567310[[#This Row],[PNP Fin corrigée]])-MAX(deb_dimJF,Horaires3567310[[#This Row],[PNP Début corrigé]])),0)+IF(COUNTIF(JF,Horaires3567310[[#This Row],[Date]]+1),MAX(0,Horaires3567310[[#This Row],[PNP Fin corrigée]]-(1+deb_dimJF)),0))*24</f>
        <v>0</v>
      </c>
    </row>
    <row r="40" spans="1:19" x14ac:dyDescent="0.35">
      <c r="A40" s="5"/>
      <c r="B40" s="1"/>
      <c r="C40" s="2"/>
      <c r="D40" s="2"/>
      <c r="E40" s="3"/>
      <c r="F40" s="3"/>
      <c r="G40" s="3"/>
      <c r="H40" s="3"/>
      <c r="I40" s="51">
        <f>0.1*(Horaires3567310[[#This Row],[Heures de nuit]]+Horaires3567310[[#This Row],[heures jour dimanche]]+Horaires3567310[[#This Row],[heures jour fériés]])</f>
        <v>0</v>
      </c>
      <c r="J40" s="52">
        <f>(MOD(Horaires3567310[[#This Row],[Fin]]-Horaires3567310[[#This Row],[début]],1)-MOD(Horaires3567310[[#This Row],[PNP Fin]]-Horaires3567310[[#This Row],[PNP Début]],1))*24</f>
        <v>0</v>
      </c>
      <c r="K40" s="53">
        <f>IF(Horaires3567310[[#This Row],[PNP Début]]=0,0,IF(Horaires3567310[[#This Row],[PNP Début]]&lt;Horaires3567310[[#This Row],[début]],1,0)+Horaires3567310[[#This Row],[PNP Début]])</f>
        <v>0</v>
      </c>
      <c r="L40" s="54">
        <f>IF(Horaires3567310[[#This Row],[PNP Fin]]=0,0,IF(Horaires3567310[[#This Row],[PNP Fin]]&lt;Horaires3567310[[#This Row],[début]],1,0)+Horaires3567310[[#This Row],[PNP Fin]])</f>
        <v>0</v>
      </c>
      <c r="M40" s="54">
        <f>IF(Horaires3567310[[#This Row],[Fin]]&lt;Horaires3567310[[#This Row],[début]],1,0)+Horaires3567310[[#This Row],[Fin]]</f>
        <v>0</v>
      </c>
      <c r="N40" s="35">
        <f>IF(Horaires3567310[[#This Row],[Fin]]&lt;Horaires3567310[[#This Row],[début]],MAX(0,MIN(Horaires3567310[[#This Row],[Fin corrigée si nuit]],fin_nuit)-MAX(Horaires3567310[[#This Row],[début]],deb_nuit))*24,(MAX(deb_nuit,Horaires3567310[[#This Row],[Fin]])-MAX(deb_nuit,Horaires3567310[[#This Row],[début]])+MAX(MIN(fin_nuit-1,Horaires3567310[[#This Row],[Fin]])-MIN(fin_nuit-1,Horaires3567310[[#This Row],[début]]),0))*24)</f>
        <v>0</v>
      </c>
      <c r="O40" s="55">
        <f>(MAX(0,MIN(Horaires3567310[[#This Row],[Fin corrigée si nuit]],fin_nuit)-MAX(Horaires3567310[[#This Row],[début]],deb_nuit))-IF(Horaires3567310[[#This Row],[PNP Début]]=0,0,MIN(Horaires3567310[[#This Row],[PNP Fin corrigée]],fin_nuit)-MAX(Horaires3567310[[#This Row],[PNP Début corrigé]],deb_nuit)))*24</f>
        <v>0</v>
      </c>
      <c r="P40" s="55">
        <f>(IF(WEEKDAY(Horaires3567310[[#This Row],[Date]],2)=7,MAX(0,MIN(fin_dimJF,Horaires3567310[[#This Row],[Fin corrigée si nuit]])-MAX(deb_dimJF,Horaires3567310[[#This Row],[début]])),0)+IF(WEEKDAY(Horaires3567310[[#This Row],[Date]],2)=6,MAX(0,Horaires3567310[[#This Row],[Fin corrigée si nuit]]-(1+deb_dimJF)),0))*24</f>
        <v>0</v>
      </c>
      <c r="Q40" s="55">
        <f>(IF(WEEKDAY(Horaires3567310[[#This Row],[Date]],2)=7,MAX(0,MIN(fin_dimJF,Horaires3567310[[#This Row],[Fin corrigée si nuit]])-MAX(deb_dimJF,Horaires3567310[[#This Row],[début]])),0)+IF(WEEKDAY(Horaires3567310[[#This Row],[Date]],2)=6,MAX(0,Horaires3567310[[#This Row],[Fin corrigée si nuit]]-(1+deb_dimJF)),0))*24-
(IF(WEEKDAY(Horaires3567310[[#This Row],[Date]],2)=7,MAX(0,MIN(fin_dimJF,Horaires3567310[[#This Row],[PNP Fin corrigée]])-MAX(deb_dimJF,Horaires3567310[[#This Row],[PNP Début corrigé]])),0)+IF(WEEKDAY(Horaires3567310[[#This Row],[Date]],2)=6,MAX(0,Horaires3567310[[#This Row],[PNP Fin corrigée]]-(1+deb_dimJF)),0))*24</f>
        <v>0</v>
      </c>
      <c r="R40" s="55">
        <f>(IF(COUNTIF(JF,Horaires3567310[[#This Row],[Date]]),MAX(0,MIN(fin_dimJF,Horaires3567310[[#This Row],[Fin corrigée si nuit]])-MAX(deb_dimJF,Horaires3567310[[#This Row],[début]])),0)+IF(COUNTIF(JF,Horaires3567310[[#This Row],[Date]]+1),MAX(0,Horaires3567310[[#This Row],[Fin corrigée si nuit]]-(1+deb_dimJF)),0))*24</f>
        <v>0</v>
      </c>
      <c r="S40" s="55">
        <f>(IF(COUNTIF(JF,Horaires3567310[[#This Row],[Date]]),MAX(0,MIN(fin_dimJF,Horaires3567310[[#This Row],[Fin corrigée si nuit]])-MAX(deb_dimJF,Horaires3567310[[#This Row],[début]])),0)+IF(COUNTIF(JF,Horaires3567310[[#This Row],[Date]]+1),MAX(0,Horaires3567310[[#This Row],[Fin corrigée si nuit]]-(1+deb_dimJF)),0))*24-
(IF(COUNTIF(JF,Horaires3567310[[#This Row],[Date]]),MAX(0,MIN(fin_dimJF,Horaires3567310[[#This Row],[PNP Fin corrigée]])-MAX(deb_dimJF,Horaires3567310[[#This Row],[PNP Début corrigé]])),0)+IF(COUNTIF(JF,Horaires3567310[[#This Row],[Date]]+1),MAX(0,Horaires3567310[[#This Row],[PNP Fin corrigée]]-(1+deb_dimJF)),0))*24</f>
        <v>0</v>
      </c>
    </row>
    <row r="41" spans="1:19" x14ac:dyDescent="0.35">
      <c r="A41" s="5"/>
      <c r="B41" s="1"/>
      <c r="C41" s="2"/>
      <c r="D41" s="2"/>
      <c r="E41" s="3"/>
      <c r="F41" s="3"/>
      <c r="G41" s="3"/>
      <c r="H41" s="3"/>
      <c r="I41" s="51">
        <f>0.1*(Horaires3567310[[#This Row],[Heures de nuit]]+Horaires3567310[[#This Row],[heures jour dimanche]]+Horaires3567310[[#This Row],[heures jour fériés]])</f>
        <v>0</v>
      </c>
      <c r="J41" s="52">
        <f>(MOD(Horaires3567310[[#This Row],[Fin]]-Horaires3567310[[#This Row],[début]],1)-MOD(Horaires3567310[[#This Row],[PNP Fin]]-Horaires3567310[[#This Row],[PNP Début]],1))*24</f>
        <v>0</v>
      </c>
      <c r="K41" s="53">
        <f>IF(Horaires3567310[[#This Row],[PNP Début]]=0,0,IF(Horaires3567310[[#This Row],[PNP Début]]&lt;Horaires3567310[[#This Row],[début]],1,0)+Horaires3567310[[#This Row],[PNP Début]])</f>
        <v>0</v>
      </c>
      <c r="L41" s="54">
        <f>IF(Horaires3567310[[#This Row],[PNP Fin]]=0,0,IF(Horaires3567310[[#This Row],[PNP Fin]]&lt;Horaires3567310[[#This Row],[début]],1,0)+Horaires3567310[[#This Row],[PNP Fin]])</f>
        <v>0</v>
      </c>
      <c r="M41" s="54">
        <f>IF(Horaires3567310[[#This Row],[Fin]]&lt;Horaires3567310[[#This Row],[début]],1,0)+Horaires3567310[[#This Row],[Fin]]</f>
        <v>0</v>
      </c>
      <c r="N41" s="35">
        <f>IF(Horaires3567310[[#This Row],[Fin]]&lt;Horaires3567310[[#This Row],[début]],MAX(0,MIN(Horaires3567310[[#This Row],[Fin corrigée si nuit]],fin_nuit)-MAX(Horaires3567310[[#This Row],[début]],deb_nuit))*24,(MAX(deb_nuit,Horaires3567310[[#This Row],[Fin]])-MAX(deb_nuit,Horaires3567310[[#This Row],[début]])+MAX(MIN(fin_nuit-1,Horaires3567310[[#This Row],[Fin]])-MIN(fin_nuit-1,Horaires3567310[[#This Row],[début]]),0))*24)</f>
        <v>0</v>
      </c>
      <c r="O41" s="55">
        <f>(MAX(0,MIN(Horaires3567310[[#This Row],[Fin corrigée si nuit]],fin_nuit)-MAX(Horaires3567310[[#This Row],[début]],deb_nuit))-IF(Horaires3567310[[#This Row],[PNP Début]]=0,0,MIN(Horaires3567310[[#This Row],[PNP Fin corrigée]],fin_nuit)-MAX(Horaires3567310[[#This Row],[PNP Début corrigé]],deb_nuit)))*24</f>
        <v>0</v>
      </c>
      <c r="P41" s="55">
        <f>(IF(WEEKDAY(Horaires3567310[[#This Row],[Date]],2)=7,MAX(0,MIN(fin_dimJF,Horaires3567310[[#This Row],[Fin corrigée si nuit]])-MAX(deb_dimJF,Horaires3567310[[#This Row],[début]])),0)+IF(WEEKDAY(Horaires3567310[[#This Row],[Date]],2)=6,MAX(0,Horaires3567310[[#This Row],[Fin corrigée si nuit]]-(1+deb_dimJF)),0))*24</f>
        <v>0</v>
      </c>
      <c r="Q41" s="55">
        <f>(IF(WEEKDAY(Horaires3567310[[#This Row],[Date]],2)=7,MAX(0,MIN(fin_dimJF,Horaires3567310[[#This Row],[Fin corrigée si nuit]])-MAX(deb_dimJF,Horaires3567310[[#This Row],[début]])),0)+IF(WEEKDAY(Horaires3567310[[#This Row],[Date]],2)=6,MAX(0,Horaires3567310[[#This Row],[Fin corrigée si nuit]]-(1+deb_dimJF)),0))*24-
(IF(WEEKDAY(Horaires3567310[[#This Row],[Date]],2)=7,MAX(0,MIN(fin_dimJF,Horaires3567310[[#This Row],[PNP Fin corrigée]])-MAX(deb_dimJF,Horaires3567310[[#This Row],[PNP Début corrigé]])),0)+IF(WEEKDAY(Horaires3567310[[#This Row],[Date]],2)=6,MAX(0,Horaires3567310[[#This Row],[PNP Fin corrigée]]-(1+deb_dimJF)),0))*24</f>
        <v>0</v>
      </c>
      <c r="R41" s="55">
        <f>(IF(COUNTIF(JF,Horaires3567310[[#This Row],[Date]]),MAX(0,MIN(fin_dimJF,Horaires3567310[[#This Row],[Fin corrigée si nuit]])-MAX(deb_dimJF,Horaires3567310[[#This Row],[début]])),0)+IF(COUNTIF(JF,Horaires3567310[[#This Row],[Date]]+1),MAX(0,Horaires3567310[[#This Row],[Fin corrigée si nuit]]-(1+deb_dimJF)),0))*24</f>
        <v>0</v>
      </c>
      <c r="S41" s="55">
        <f>(IF(COUNTIF(JF,Horaires3567310[[#This Row],[Date]]),MAX(0,MIN(fin_dimJF,Horaires3567310[[#This Row],[Fin corrigée si nuit]])-MAX(deb_dimJF,Horaires3567310[[#This Row],[début]])),0)+IF(COUNTIF(JF,Horaires3567310[[#This Row],[Date]]+1),MAX(0,Horaires3567310[[#This Row],[Fin corrigée si nuit]]-(1+deb_dimJF)),0))*24-
(IF(COUNTIF(JF,Horaires3567310[[#This Row],[Date]]),MAX(0,MIN(fin_dimJF,Horaires3567310[[#This Row],[PNP Fin corrigée]])-MAX(deb_dimJF,Horaires3567310[[#This Row],[PNP Début corrigé]])),0)+IF(COUNTIF(JF,Horaires3567310[[#This Row],[Date]]+1),MAX(0,Horaires3567310[[#This Row],[PNP Fin corrigée]]-(1+deb_dimJF)),0))*24</f>
        <v>0</v>
      </c>
    </row>
    <row r="42" spans="1:19" x14ac:dyDescent="0.35">
      <c r="A42" s="5"/>
      <c r="B42" s="1"/>
      <c r="C42" s="2"/>
      <c r="D42" s="2"/>
      <c r="E42" s="3"/>
      <c r="F42" s="3"/>
      <c r="G42" s="3"/>
      <c r="H42" s="3"/>
      <c r="I42" s="51">
        <f>0.1*(Horaires3567310[[#This Row],[Heures de nuit]]+Horaires3567310[[#This Row],[heures jour dimanche]]+Horaires3567310[[#This Row],[heures jour fériés]])</f>
        <v>0</v>
      </c>
      <c r="J42" s="52">
        <f>(MOD(Horaires3567310[[#This Row],[Fin]]-Horaires3567310[[#This Row],[début]],1)-MOD(Horaires3567310[[#This Row],[PNP Fin]]-Horaires3567310[[#This Row],[PNP Début]],1))*24</f>
        <v>0</v>
      </c>
      <c r="K42" s="53">
        <f>IF(Horaires3567310[[#This Row],[PNP Début]]=0,0,IF(Horaires3567310[[#This Row],[PNP Début]]&lt;Horaires3567310[[#This Row],[début]],1,0)+Horaires3567310[[#This Row],[PNP Début]])</f>
        <v>0</v>
      </c>
      <c r="L42" s="54">
        <f>IF(Horaires3567310[[#This Row],[PNP Fin]]=0,0,IF(Horaires3567310[[#This Row],[PNP Fin]]&lt;Horaires3567310[[#This Row],[début]],1,0)+Horaires3567310[[#This Row],[PNP Fin]])</f>
        <v>0</v>
      </c>
      <c r="M42" s="54">
        <f>IF(Horaires3567310[[#This Row],[Fin]]&lt;Horaires3567310[[#This Row],[début]],1,0)+Horaires3567310[[#This Row],[Fin]]</f>
        <v>0</v>
      </c>
      <c r="N42" s="35">
        <f>IF(Horaires3567310[[#This Row],[Fin]]&lt;Horaires3567310[[#This Row],[début]],MAX(0,MIN(Horaires3567310[[#This Row],[Fin corrigée si nuit]],fin_nuit)-MAX(Horaires3567310[[#This Row],[début]],deb_nuit))*24,(MAX(deb_nuit,Horaires3567310[[#This Row],[Fin]])-MAX(deb_nuit,Horaires3567310[[#This Row],[début]])+MAX(MIN(fin_nuit-1,Horaires3567310[[#This Row],[Fin]])-MIN(fin_nuit-1,Horaires3567310[[#This Row],[début]]),0))*24)</f>
        <v>0</v>
      </c>
      <c r="O42" s="55">
        <f>(MAX(0,MIN(Horaires3567310[[#This Row],[Fin corrigée si nuit]],fin_nuit)-MAX(Horaires3567310[[#This Row],[début]],deb_nuit))-IF(Horaires3567310[[#This Row],[PNP Début]]=0,0,MIN(Horaires3567310[[#This Row],[PNP Fin corrigée]],fin_nuit)-MAX(Horaires3567310[[#This Row],[PNP Début corrigé]],deb_nuit)))*24</f>
        <v>0</v>
      </c>
      <c r="P42" s="55">
        <f>(IF(WEEKDAY(Horaires3567310[[#This Row],[Date]],2)=7,MAX(0,MIN(fin_dimJF,Horaires3567310[[#This Row],[Fin corrigée si nuit]])-MAX(deb_dimJF,Horaires3567310[[#This Row],[début]])),0)+IF(WEEKDAY(Horaires3567310[[#This Row],[Date]],2)=6,MAX(0,Horaires3567310[[#This Row],[Fin corrigée si nuit]]-(1+deb_dimJF)),0))*24</f>
        <v>0</v>
      </c>
      <c r="Q42" s="55">
        <f>(IF(WEEKDAY(Horaires3567310[[#This Row],[Date]],2)=7,MAX(0,MIN(fin_dimJF,Horaires3567310[[#This Row],[Fin corrigée si nuit]])-MAX(deb_dimJF,Horaires3567310[[#This Row],[début]])),0)+IF(WEEKDAY(Horaires3567310[[#This Row],[Date]],2)=6,MAX(0,Horaires3567310[[#This Row],[Fin corrigée si nuit]]-(1+deb_dimJF)),0))*24-
(IF(WEEKDAY(Horaires3567310[[#This Row],[Date]],2)=7,MAX(0,MIN(fin_dimJF,Horaires3567310[[#This Row],[PNP Fin corrigée]])-MAX(deb_dimJF,Horaires3567310[[#This Row],[PNP Début corrigé]])),0)+IF(WEEKDAY(Horaires3567310[[#This Row],[Date]],2)=6,MAX(0,Horaires3567310[[#This Row],[PNP Fin corrigée]]-(1+deb_dimJF)),0))*24</f>
        <v>0</v>
      </c>
      <c r="R42" s="55">
        <f>(IF(COUNTIF(JF,Horaires3567310[[#This Row],[Date]]),MAX(0,MIN(fin_dimJF,Horaires3567310[[#This Row],[Fin corrigée si nuit]])-MAX(deb_dimJF,Horaires3567310[[#This Row],[début]])),0)+IF(COUNTIF(JF,Horaires3567310[[#This Row],[Date]]+1),MAX(0,Horaires3567310[[#This Row],[Fin corrigée si nuit]]-(1+deb_dimJF)),0))*24</f>
        <v>0</v>
      </c>
      <c r="S42" s="55">
        <f>(IF(COUNTIF(JF,Horaires3567310[[#This Row],[Date]]),MAX(0,MIN(fin_dimJF,Horaires3567310[[#This Row],[Fin corrigée si nuit]])-MAX(deb_dimJF,Horaires3567310[[#This Row],[début]])),0)+IF(COUNTIF(JF,Horaires3567310[[#This Row],[Date]]+1),MAX(0,Horaires3567310[[#This Row],[Fin corrigée si nuit]]-(1+deb_dimJF)),0))*24-
(IF(COUNTIF(JF,Horaires3567310[[#This Row],[Date]]),MAX(0,MIN(fin_dimJF,Horaires3567310[[#This Row],[PNP Fin corrigée]])-MAX(deb_dimJF,Horaires3567310[[#This Row],[PNP Début corrigé]])),0)+IF(COUNTIF(JF,Horaires3567310[[#This Row],[Date]]+1),MAX(0,Horaires3567310[[#This Row],[PNP Fin corrigée]]-(1+deb_dimJF)),0))*24</f>
        <v>0</v>
      </c>
    </row>
    <row r="43" spans="1:19" x14ac:dyDescent="0.35">
      <c r="A43" s="5"/>
      <c r="B43" s="1"/>
      <c r="C43" s="2"/>
      <c r="D43" s="2"/>
      <c r="E43" s="3"/>
      <c r="F43" s="3"/>
      <c r="G43" s="3"/>
      <c r="H43" s="3"/>
      <c r="I43" s="51">
        <f>0.1*(Horaires3567310[[#This Row],[Heures de nuit]]+Horaires3567310[[#This Row],[heures jour dimanche]]+Horaires3567310[[#This Row],[heures jour fériés]])</f>
        <v>0</v>
      </c>
      <c r="J43" s="52">
        <f>(MOD(Horaires3567310[[#This Row],[Fin]]-Horaires3567310[[#This Row],[début]],1)-MOD(Horaires3567310[[#This Row],[PNP Fin]]-Horaires3567310[[#This Row],[PNP Début]],1))*24</f>
        <v>0</v>
      </c>
      <c r="K43" s="53">
        <f>IF(Horaires3567310[[#This Row],[PNP Début]]=0,0,IF(Horaires3567310[[#This Row],[PNP Début]]&lt;Horaires3567310[[#This Row],[début]],1,0)+Horaires3567310[[#This Row],[PNP Début]])</f>
        <v>0</v>
      </c>
      <c r="L43" s="54">
        <f>IF(Horaires3567310[[#This Row],[PNP Fin]]=0,0,IF(Horaires3567310[[#This Row],[PNP Fin]]&lt;Horaires3567310[[#This Row],[début]],1,0)+Horaires3567310[[#This Row],[PNP Fin]])</f>
        <v>0</v>
      </c>
      <c r="M43" s="54">
        <f>IF(Horaires3567310[[#This Row],[Fin]]&lt;Horaires3567310[[#This Row],[début]],1,0)+Horaires3567310[[#This Row],[Fin]]</f>
        <v>0</v>
      </c>
      <c r="N43" s="35">
        <f>IF(Horaires3567310[[#This Row],[Fin]]&lt;Horaires3567310[[#This Row],[début]],MAX(0,MIN(Horaires3567310[[#This Row],[Fin corrigée si nuit]],fin_nuit)-MAX(Horaires3567310[[#This Row],[début]],deb_nuit))*24,(MAX(deb_nuit,Horaires3567310[[#This Row],[Fin]])-MAX(deb_nuit,Horaires3567310[[#This Row],[début]])+MAX(MIN(fin_nuit-1,Horaires3567310[[#This Row],[Fin]])-MIN(fin_nuit-1,Horaires3567310[[#This Row],[début]]),0))*24)</f>
        <v>0</v>
      </c>
      <c r="O43" s="55">
        <f>(MAX(0,MIN(Horaires3567310[[#This Row],[Fin corrigée si nuit]],fin_nuit)-MAX(Horaires3567310[[#This Row],[début]],deb_nuit))-IF(Horaires3567310[[#This Row],[PNP Début]]=0,0,MIN(Horaires3567310[[#This Row],[PNP Fin corrigée]],fin_nuit)-MAX(Horaires3567310[[#This Row],[PNP Début corrigé]],deb_nuit)))*24</f>
        <v>0</v>
      </c>
      <c r="P43" s="55">
        <f>(IF(WEEKDAY(Horaires3567310[[#This Row],[Date]],2)=7,MAX(0,MIN(fin_dimJF,Horaires3567310[[#This Row],[Fin corrigée si nuit]])-MAX(deb_dimJF,Horaires3567310[[#This Row],[début]])),0)+IF(WEEKDAY(Horaires3567310[[#This Row],[Date]],2)=6,MAX(0,Horaires3567310[[#This Row],[Fin corrigée si nuit]]-(1+deb_dimJF)),0))*24</f>
        <v>0</v>
      </c>
      <c r="Q43" s="55">
        <f>(IF(WEEKDAY(Horaires3567310[[#This Row],[Date]],2)=7,MAX(0,MIN(fin_dimJF,Horaires3567310[[#This Row],[Fin corrigée si nuit]])-MAX(deb_dimJF,Horaires3567310[[#This Row],[début]])),0)+IF(WEEKDAY(Horaires3567310[[#This Row],[Date]],2)=6,MAX(0,Horaires3567310[[#This Row],[Fin corrigée si nuit]]-(1+deb_dimJF)),0))*24-
(IF(WEEKDAY(Horaires3567310[[#This Row],[Date]],2)=7,MAX(0,MIN(fin_dimJF,Horaires3567310[[#This Row],[PNP Fin corrigée]])-MAX(deb_dimJF,Horaires3567310[[#This Row],[PNP Début corrigé]])),0)+IF(WEEKDAY(Horaires3567310[[#This Row],[Date]],2)=6,MAX(0,Horaires3567310[[#This Row],[PNP Fin corrigée]]-(1+deb_dimJF)),0))*24</f>
        <v>0</v>
      </c>
      <c r="R43" s="55">
        <f>(IF(COUNTIF(JF,Horaires3567310[[#This Row],[Date]]),MAX(0,MIN(fin_dimJF,Horaires3567310[[#This Row],[Fin corrigée si nuit]])-MAX(deb_dimJF,Horaires3567310[[#This Row],[début]])),0)+IF(COUNTIF(JF,Horaires3567310[[#This Row],[Date]]+1),MAX(0,Horaires3567310[[#This Row],[Fin corrigée si nuit]]-(1+deb_dimJF)),0))*24</f>
        <v>0</v>
      </c>
      <c r="S43" s="55">
        <f>(IF(COUNTIF(JF,Horaires3567310[[#This Row],[Date]]),MAX(0,MIN(fin_dimJF,Horaires3567310[[#This Row],[Fin corrigée si nuit]])-MAX(deb_dimJF,Horaires3567310[[#This Row],[début]])),0)+IF(COUNTIF(JF,Horaires3567310[[#This Row],[Date]]+1),MAX(0,Horaires3567310[[#This Row],[Fin corrigée si nuit]]-(1+deb_dimJF)),0))*24-
(IF(COUNTIF(JF,Horaires3567310[[#This Row],[Date]]),MAX(0,MIN(fin_dimJF,Horaires3567310[[#This Row],[PNP Fin corrigée]])-MAX(deb_dimJF,Horaires3567310[[#This Row],[PNP Début corrigé]])),0)+IF(COUNTIF(JF,Horaires3567310[[#This Row],[Date]]+1),MAX(0,Horaires3567310[[#This Row],[PNP Fin corrigée]]-(1+deb_dimJF)),0))*24</f>
        <v>0</v>
      </c>
    </row>
    <row r="44" spans="1:19" x14ac:dyDescent="0.35">
      <c r="A44" s="5"/>
      <c r="B44" s="1"/>
      <c r="C44" s="2"/>
      <c r="D44" s="2"/>
      <c r="E44" s="3"/>
      <c r="F44" s="3"/>
      <c r="G44" s="3"/>
      <c r="H44" s="3"/>
      <c r="I44" s="51">
        <f>0.1*(Horaires3567310[[#This Row],[Heures de nuit]]+Horaires3567310[[#This Row],[heures jour dimanche]]+Horaires3567310[[#This Row],[heures jour fériés]])</f>
        <v>0</v>
      </c>
      <c r="J44" s="52">
        <f>(MOD(Horaires3567310[[#This Row],[Fin]]-Horaires3567310[[#This Row],[début]],1)-MOD(Horaires3567310[[#This Row],[PNP Fin]]-Horaires3567310[[#This Row],[PNP Début]],1))*24</f>
        <v>0</v>
      </c>
      <c r="K44" s="53">
        <f>IF(Horaires3567310[[#This Row],[PNP Début]]=0,0,IF(Horaires3567310[[#This Row],[PNP Début]]&lt;Horaires3567310[[#This Row],[début]],1,0)+Horaires3567310[[#This Row],[PNP Début]])</f>
        <v>0</v>
      </c>
      <c r="L44" s="54">
        <f>IF(Horaires3567310[[#This Row],[PNP Fin]]=0,0,IF(Horaires3567310[[#This Row],[PNP Fin]]&lt;Horaires3567310[[#This Row],[début]],1,0)+Horaires3567310[[#This Row],[PNP Fin]])</f>
        <v>0</v>
      </c>
      <c r="M44" s="54">
        <f>IF(Horaires3567310[[#This Row],[Fin]]&lt;Horaires3567310[[#This Row],[début]],1,0)+Horaires3567310[[#This Row],[Fin]]</f>
        <v>0</v>
      </c>
      <c r="N44" s="35">
        <f>IF(Horaires3567310[[#This Row],[Fin]]&lt;Horaires3567310[[#This Row],[début]],MAX(0,MIN(Horaires3567310[[#This Row],[Fin corrigée si nuit]],fin_nuit)-MAX(Horaires3567310[[#This Row],[début]],deb_nuit))*24,(MAX(deb_nuit,Horaires3567310[[#This Row],[Fin]])-MAX(deb_nuit,Horaires3567310[[#This Row],[début]])+MAX(MIN(fin_nuit-1,Horaires3567310[[#This Row],[Fin]])-MIN(fin_nuit-1,Horaires3567310[[#This Row],[début]]),0))*24)</f>
        <v>0</v>
      </c>
      <c r="O44" s="55">
        <f>(MAX(0,MIN(Horaires3567310[[#This Row],[Fin corrigée si nuit]],fin_nuit)-MAX(Horaires3567310[[#This Row],[début]],deb_nuit))-IF(Horaires3567310[[#This Row],[PNP Début]]=0,0,MIN(Horaires3567310[[#This Row],[PNP Fin corrigée]],fin_nuit)-MAX(Horaires3567310[[#This Row],[PNP Début corrigé]],deb_nuit)))*24</f>
        <v>0</v>
      </c>
      <c r="P44" s="55">
        <f>(IF(WEEKDAY(Horaires3567310[[#This Row],[Date]],2)=7,MAX(0,MIN(fin_dimJF,Horaires3567310[[#This Row],[Fin corrigée si nuit]])-MAX(deb_dimJF,Horaires3567310[[#This Row],[début]])),0)+IF(WEEKDAY(Horaires3567310[[#This Row],[Date]],2)=6,MAX(0,Horaires3567310[[#This Row],[Fin corrigée si nuit]]-(1+deb_dimJF)),0))*24</f>
        <v>0</v>
      </c>
      <c r="Q44" s="55">
        <f>(IF(WEEKDAY(Horaires3567310[[#This Row],[Date]],2)=7,MAX(0,MIN(fin_dimJF,Horaires3567310[[#This Row],[Fin corrigée si nuit]])-MAX(deb_dimJF,Horaires3567310[[#This Row],[début]])),0)+IF(WEEKDAY(Horaires3567310[[#This Row],[Date]],2)=6,MAX(0,Horaires3567310[[#This Row],[Fin corrigée si nuit]]-(1+deb_dimJF)),0))*24-
(IF(WEEKDAY(Horaires3567310[[#This Row],[Date]],2)=7,MAX(0,MIN(fin_dimJF,Horaires3567310[[#This Row],[PNP Fin corrigée]])-MAX(deb_dimJF,Horaires3567310[[#This Row],[PNP Début corrigé]])),0)+IF(WEEKDAY(Horaires3567310[[#This Row],[Date]],2)=6,MAX(0,Horaires3567310[[#This Row],[PNP Fin corrigée]]-(1+deb_dimJF)),0))*24</f>
        <v>0</v>
      </c>
      <c r="R44" s="55">
        <f>(IF(COUNTIF(JF,Horaires3567310[[#This Row],[Date]]),MAX(0,MIN(fin_dimJF,Horaires3567310[[#This Row],[Fin corrigée si nuit]])-MAX(deb_dimJF,Horaires3567310[[#This Row],[début]])),0)+IF(COUNTIF(JF,Horaires3567310[[#This Row],[Date]]+1),MAX(0,Horaires3567310[[#This Row],[Fin corrigée si nuit]]-(1+deb_dimJF)),0))*24</f>
        <v>0</v>
      </c>
      <c r="S44" s="55">
        <f>(IF(COUNTIF(JF,Horaires3567310[[#This Row],[Date]]),MAX(0,MIN(fin_dimJF,Horaires3567310[[#This Row],[Fin corrigée si nuit]])-MAX(deb_dimJF,Horaires3567310[[#This Row],[début]])),0)+IF(COUNTIF(JF,Horaires3567310[[#This Row],[Date]]+1),MAX(0,Horaires3567310[[#This Row],[Fin corrigée si nuit]]-(1+deb_dimJF)),0))*24-
(IF(COUNTIF(JF,Horaires3567310[[#This Row],[Date]]),MAX(0,MIN(fin_dimJF,Horaires3567310[[#This Row],[PNP Fin corrigée]])-MAX(deb_dimJF,Horaires3567310[[#This Row],[PNP Début corrigé]])),0)+IF(COUNTIF(JF,Horaires3567310[[#This Row],[Date]]+1),MAX(0,Horaires3567310[[#This Row],[PNP Fin corrigée]]-(1+deb_dimJF)),0))*24</f>
        <v>0</v>
      </c>
    </row>
    <row r="45" spans="1:19" x14ac:dyDescent="0.35">
      <c r="A45" s="5"/>
      <c r="B45" s="1"/>
      <c r="C45" s="2"/>
      <c r="D45" s="2"/>
      <c r="E45" s="3"/>
      <c r="F45" s="3"/>
      <c r="G45" s="3"/>
      <c r="H45" s="3"/>
      <c r="I45" s="51">
        <f>0.1*(Horaires3567310[[#This Row],[Heures de nuit]]+Horaires3567310[[#This Row],[heures jour dimanche]]+Horaires3567310[[#This Row],[heures jour fériés]])</f>
        <v>0</v>
      </c>
      <c r="J45" s="52">
        <f>(MOD(Horaires3567310[[#This Row],[Fin]]-Horaires3567310[[#This Row],[début]],1)-MOD(Horaires3567310[[#This Row],[PNP Fin]]-Horaires3567310[[#This Row],[PNP Début]],1))*24</f>
        <v>0</v>
      </c>
      <c r="K45" s="53">
        <f>IF(Horaires3567310[[#This Row],[PNP Début]]=0,0,IF(Horaires3567310[[#This Row],[PNP Début]]&lt;Horaires3567310[[#This Row],[début]],1,0)+Horaires3567310[[#This Row],[PNP Début]])</f>
        <v>0</v>
      </c>
      <c r="L45" s="54">
        <f>IF(Horaires3567310[[#This Row],[PNP Fin]]=0,0,IF(Horaires3567310[[#This Row],[PNP Fin]]&lt;Horaires3567310[[#This Row],[début]],1,0)+Horaires3567310[[#This Row],[PNP Fin]])</f>
        <v>0</v>
      </c>
      <c r="M45" s="54">
        <f>IF(Horaires3567310[[#This Row],[Fin]]&lt;Horaires3567310[[#This Row],[début]],1,0)+Horaires3567310[[#This Row],[Fin]]</f>
        <v>0</v>
      </c>
      <c r="N45" s="35">
        <f>IF(Horaires3567310[[#This Row],[Fin]]&lt;Horaires3567310[[#This Row],[début]],MAX(0,MIN(Horaires3567310[[#This Row],[Fin corrigée si nuit]],fin_nuit)-MAX(Horaires3567310[[#This Row],[début]],deb_nuit))*24,(MAX(deb_nuit,Horaires3567310[[#This Row],[Fin]])-MAX(deb_nuit,Horaires3567310[[#This Row],[début]])+MAX(MIN(fin_nuit-1,Horaires3567310[[#This Row],[Fin]])-MIN(fin_nuit-1,Horaires3567310[[#This Row],[début]]),0))*24)</f>
        <v>0</v>
      </c>
      <c r="O45" s="55">
        <f>(MAX(0,MIN(Horaires3567310[[#This Row],[Fin corrigée si nuit]],fin_nuit)-MAX(Horaires3567310[[#This Row],[début]],deb_nuit))-IF(Horaires3567310[[#This Row],[PNP Début]]=0,0,MIN(Horaires3567310[[#This Row],[PNP Fin corrigée]],fin_nuit)-MAX(Horaires3567310[[#This Row],[PNP Début corrigé]],deb_nuit)))*24</f>
        <v>0</v>
      </c>
      <c r="P45" s="55">
        <f>(IF(WEEKDAY(Horaires3567310[[#This Row],[Date]],2)=7,MAX(0,MIN(fin_dimJF,Horaires3567310[[#This Row],[Fin corrigée si nuit]])-MAX(deb_dimJF,Horaires3567310[[#This Row],[début]])),0)+IF(WEEKDAY(Horaires3567310[[#This Row],[Date]],2)=6,MAX(0,Horaires3567310[[#This Row],[Fin corrigée si nuit]]-(1+deb_dimJF)),0))*24</f>
        <v>0</v>
      </c>
      <c r="Q45" s="55">
        <f>(IF(WEEKDAY(Horaires3567310[[#This Row],[Date]],2)=7,MAX(0,MIN(fin_dimJF,Horaires3567310[[#This Row],[Fin corrigée si nuit]])-MAX(deb_dimJF,Horaires3567310[[#This Row],[début]])),0)+IF(WEEKDAY(Horaires3567310[[#This Row],[Date]],2)=6,MAX(0,Horaires3567310[[#This Row],[Fin corrigée si nuit]]-(1+deb_dimJF)),0))*24-
(IF(WEEKDAY(Horaires3567310[[#This Row],[Date]],2)=7,MAX(0,MIN(fin_dimJF,Horaires3567310[[#This Row],[PNP Fin corrigée]])-MAX(deb_dimJF,Horaires3567310[[#This Row],[PNP Début corrigé]])),0)+IF(WEEKDAY(Horaires3567310[[#This Row],[Date]],2)=6,MAX(0,Horaires3567310[[#This Row],[PNP Fin corrigée]]-(1+deb_dimJF)),0))*24</f>
        <v>0</v>
      </c>
      <c r="R45" s="55">
        <f>(IF(COUNTIF(JF,Horaires3567310[[#This Row],[Date]]),MAX(0,MIN(fin_dimJF,Horaires3567310[[#This Row],[Fin corrigée si nuit]])-MAX(deb_dimJF,Horaires3567310[[#This Row],[début]])),0)+IF(COUNTIF(JF,Horaires3567310[[#This Row],[Date]]+1),MAX(0,Horaires3567310[[#This Row],[Fin corrigée si nuit]]-(1+deb_dimJF)),0))*24</f>
        <v>0</v>
      </c>
      <c r="S45" s="55">
        <f>(IF(COUNTIF(JF,Horaires3567310[[#This Row],[Date]]),MAX(0,MIN(fin_dimJF,Horaires3567310[[#This Row],[Fin corrigée si nuit]])-MAX(deb_dimJF,Horaires3567310[[#This Row],[début]])),0)+IF(COUNTIF(JF,Horaires3567310[[#This Row],[Date]]+1),MAX(0,Horaires3567310[[#This Row],[Fin corrigée si nuit]]-(1+deb_dimJF)),0))*24-
(IF(COUNTIF(JF,Horaires3567310[[#This Row],[Date]]),MAX(0,MIN(fin_dimJF,Horaires3567310[[#This Row],[PNP Fin corrigée]])-MAX(deb_dimJF,Horaires3567310[[#This Row],[PNP Début corrigé]])),0)+IF(COUNTIF(JF,Horaires3567310[[#This Row],[Date]]+1),MAX(0,Horaires3567310[[#This Row],[PNP Fin corrigée]]-(1+deb_dimJF)),0))*24</f>
        <v>0</v>
      </c>
    </row>
    <row r="46" spans="1:19" x14ac:dyDescent="0.35">
      <c r="A46" s="5"/>
      <c r="B46" s="1"/>
      <c r="C46" s="2"/>
      <c r="D46" s="2"/>
      <c r="E46" s="3"/>
      <c r="F46" s="3"/>
      <c r="G46" s="3"/>
      <c r="H46" s="3"/>
      <c r="I46" s="51">
        <f>0.1*(Horaires3567310[[#This Row],[Heures de nuit]]+Horaires3567310[[#This Row],[heures jour dimanche]]+Horaires3567310[[#This Row],[heures jour fériés]])</f>
        <v>0</v>
      </c>
      <c r="J46" s="52">
        <f>(MOD(Horaires3567310[[#This Row],[Fin]]-Horaires3567310[[#This Row],[début]],1)-MOD(Horaires3567310[[#This Row],[PNP Fin]]-Horaires3567310[[#This Row],[PNP Début]],1))*24</f>
        <v>0</v>
      </c>
      <c r="K46" s="53">
        <f>IF(Horaires3567310[[#This Row],[PNP Début]]=0,0,IF(Horaires3567310[[#This Row],[PNP Début]]&lt;Horaires3567310[[#This Row],[début]],1,0)+Horaires3567310[[#This Row],[PNP Début]])</f>
        <v>0</v>
      </c>
      <c r="L46" s="54">
        <f>IF(Horaires3567310[[#This Row],[PNP Fin]]=0,0,IF(Horaires3567310[[#This Row],[PNP Fin]]&lt;Horaires3567310[[#This Row],[début]],1,0)+Horaires3567310[[#This Row],[PNP Fin]])</f>
        <v>0</v>
      </c>
      <c r="M46" s="54">
        <f>IF(Horaires3567310[[#This Row],[Fin]]&lt;Horaires3567310[[#This Row],[début]],1,0)+Horaires3567310[[#This Row],[Fin]]</f>
        <v>0</v>
      </c>
      <c r="N46" s="35">
        <f>IF(Horaires3567310[[#This Row],[Fin]]&lt;Horaires3567310[[#This Row],[début]],MAX(0,MIN(Horaires3567310[[#This Row],[Fin corrigée si nuit]],fin_nuit)-MAX(Horaires3567310[[#This Row],[début]],deb_nuit))*24,(MAX(deb_nuit,Horaires3567310[[#This Row],[Fin]])-MAX(deb_nuit,Horaires3567310[[#This Row],[début]])+MAX(MIN(fin_nuit-1,Horaires3567310[[#This Row],[Fin]])-MIN(fin_nuit-1,Horaires3567310[[#This Row],[début]]),0))*24)</f>
        <v>0</v>
      </c>
      <c r="O46" s="55">
        <f>(MAX(0,MIN(Horaires3567310[[#This Row],[Fin corrigée si nuit]],fin_nuit)-MAX(Horaires3567310[[#This Row],[début]],deb_nuit))-IF(Horaires3567310[[#This Row],[PNP Début]]=0,0,MIN(Horaires3567310[[#This Row],[PNP Fin corrigée]],fin_nuit)-MAX(Horaires3567310[[#This Row],[PNP Début corrigé]],deb_nuit)))*24</f>
        <v>0</v>
      </c>
      <c r="P46" s="55">
        <f>(IF(WEEKDAY(Horaires3567310[[#This Row],[Date]],2)=7,MAX(0,MIN(fin_dimJF,Horaires3567310[[#This Row],[Fin corrigée si nuit]])-MAX(deb_dimJF,Horaires3567310[[#This Row],[début]])),0)+IF(WEEKDAY(Horaires3567310[[#This Row],[Date]],2)=6,MAX(0,Horaires3567310[[#This Row],[Fin corrigée si nuit]]-(1+deb_dimJF)),0))*24</f>
        <v>0</v>
      </c>
      <c r="Q46" s="55">
        <f>(IF(WEEKDAY(Horaires3567310[[#This Row],[Date]],2)=7,MAX(0,MIN(fin_dimJF,Horaires3567310[[#This Row],[Fin corrigée si nuit]])-MAX(deb_dimJF,Horaires3567310[[#This Row],[début]])),0)+IF(WEEKDAY(Horaires3567310[[#This Row],[Date]],2)=6,MAX(0,Horaires3567310[[#This Row],[Fin corrigée si nuit]]-(1+deb_dimJF)),0))*24-
(IF(WEEKDAY(Horaires3567310[[#This Row],[Date]],2)=7,MAX(0,MIN(fin_dimJF,Horaires3567310[[#This Row],[PNP Fin corrigée]])-MAX(deb_dimJF,Horaires3567310[[#This Row],[PNP Début corrigé]])),0)+IF(WEEKDAY(Horaires3567310[[#This Row],[Date]],2)=6,MAX(0,Horaires3567310[[#This Row],[PNP Fin corrigée]]-(1+deb_dimJF)),0))*24</f>
        <v>0</v>
      </c>
      <c r="R46" s="55">
        <f>(IF(COUNTIF(JF,Horaires3567310[[#This Row],[Date]]),MAX(0,MIN(fin_dimJF,Horaires3567310[[#This Row],[Fin corrigée si nuit]])-MAX(deb_dimJF,Horaires3567310[[#This Row],[début]])),0)+IF(COUNTIF(JF,Horaires3567310[[#This Row],[Date]]+1),MAX(0,Horaires3567310[[#This Row],[Fin corrigée si nuit]]-(1+deb_dimJF)),0))*24</f>
        <v>0</v>
      </c>
      <c r="S46" s="55">
        <f>(IF(COUNTIF(JF,Horaires3567310[[#This Row],[Date]]),MAX(0,MIN(fin_dimJF,Horaires3567310[[#This Row],[Fin corrigée si nuit]])-MAX(deb_dimJF,Horaires3567310[[#This Row],[début]])),0)+IF(COUNTIF(JF,Horaires3567310[[#This Row],[Date]]+1),MAX(0,Horaires3567310[[#This Row],[Fin corrigée si nuit]]-(1+deb_dimJF)),0))*24-
(IF(COUNTIF(JF,Horaires3567310[[#This Row],[Date]]),MAX(0,MIN(fin_dimJF,Horaires3567310[[#This Row],[PNP Fin corrigée]])-MAX(deb_dimJF,Horaires3567310[[#This Row],[PNP Début corrigé]])),0)+IF(COUNTIF(JF,Horaires3567310[[#This Row],[Date]]+1),MAX(0,Horaires3567310[[#This Row],[PNP Fin corrigée]]-(1+deb_dimJF)),0))*24</f>
        <v>0</v>
      </c>
    </row>
    <row r="47" spans="1:19" x14ac:dyDescent="0.35">
      <c r="A47" s="5"/>
      <c r="B47" s="1"/>
      <c r="C47" s="2"/>
      <c r="D47" s="2"/>
      <c r="E47" s="3"/>
      <c r="F47" s="3"/>
      <c r="G47" s="3"/>
      <c r="H47" s="3"/>
      <c r="I47" s="51">
        <f>0.1*(Horaires3567310[[#This Row],[Heures de nuit]]+Horaires3567310[[#This Row],[heures jour dimanche]]+Horaires3567310[[#This Row],[heures jour fériés]])</f>
        <v>0</v>
      </c>
      <c r="J47" s="52">
        <f>(MOD(Horaires3567310[[#This Row],[Fin]]-Horaires3567310[[#This Row],[début]],1)-MOD(Horaires3567310[[#This Row],[PNP Fin]]-Horaires3567310[[#This Row],[PNP Début]],1))*24</f>
        <v>0</v>
      </c>
      <c r="K47" s="53">
        <f>IF(Horaires3567310[[#This Row],[PNP Début]]=0,0,IF(Horaires3567310[[#This Row],[PNP Début]]&lt;Horaires3567310[[#This Row],[début]],1,0)+Horaires3567310[[#This Row],[PNP Début]])</f>
        <v>0</v>
      </c>
      <c r="L47" s="54">
        <f>IF(Horaires3567310[[#This Row],[PNP Fin]]=0,0,IF(Horaires3567310[[#This Row],[PNP Fin]]&lt;Horaires3567310[[#This Row],[début]],1,0)+Horaires3567310[[#This Row],[PNP Fin]])</f>
        <v>0</v>
      </c>
      <c r="M47" s="54">
        <f>IF(Horaires3567310[[#This Row],[Fin]]&lt;Horaires3567310[[#This Row],[début]],1,0)+Horaires3567310[[#This Row],[Fin]]</f>
        <v>0</v>
      </c>
      <c r="N47" s="35">
        <f>IF(Horaires3567310[[#This Row],[Fin]]&lt;Horaires3567310[[#This Row],[début]],MAX(0,MIN(Horaires3567310[[#This Row],[Fin corrigée si nuit]],fin_nuit)-MAX(Horaires3567310[[#This Row],[début]],deb_nuit))*24,(MAX(deb_nuit,Horaires3567310[[#This Row],[Fin]])-MAX(deb_nuit,Horaires3567310[[#This Row],[début]])+MAX(MIN(fin_nuit-1,Horaires3567310[[#This Row],[Fin]])-MIN(fin_nuit-1,Horaires3567310[[#This Row],[début]]),0))*24)</f>
        <v>0</v>
      </c>
      <c r="O47" s="55">
        <f>(MAX(0,MIN(Horaires3567310[[#This Row],[Fin corrigée si nuit]],fin_nuit)-MAX(Horaires3567310[[#This Row],[début]],deb_nuit))-IF(Horaires3567310[[#This Row],[PNP Début]]=0,0,MIN(Horaires3567310[[#This Row],[PNP Fin corrigée]],fin_nuit)-MAX(Horaires3567310[[#This Row],[PNP Début corrigé]],deb_nuit)))*24</f>
        <v>0</v>
      </c>
      <c r="P47" s="55">
        <f>(IF(WEEKDAY(Horaires3567310[[#This Row],[Date]],2)=7,MAX(0,MIN(fin_dimJF,Horaires3567310[[#This Row],[Fin corrigée si nuit]])-MAX(deb_dimJF,Horaires3567310[[#This Row],[début]])),0)+IF(WEEKDAY(Horaires3567310[[#This Row],[Date]],2)=6,MAX(0,Horaires3567310[[#This Row],[Fin corrigée si nuit]]-(1+deb_dimJF)),0))*24</f>
        <v>0</v>
      </c>
      <c r="Q47" s="55">
        <f>(IF(WEEKDAY(Horaires3567310[[#This Row],[Date]],2)=7,MAX(0,MIN(fin_dimJF,Horaires3567310[[#This Row],[Fin corrigée si nuit]])-MAX(deb_dimJF,Horaires3567310[[#This Row],[début]])),0)+IF(WEEKDAY(Horaires3567310[[#This Row],[Date]],2)=6,MAX(0,Horaires3567310[[#This Row],[Fin corrigée si nuit]]-(1+deb_dimJF)),0))*24-
(IF(WEEKDAY(Horaires3567310[[#This Row],[Date]],2)=7,MAX(0,MIN(fin_dimJF,Horaires3567310[[#This Row],[PNP Fin corrigée]])-MAX(deb_dimJF,Horaires3567310[[#This Row],[PNP Début corrigé]])),0)+IF(WEEKDAY(Horaires3567310[[#This Row],[Date]],2)=6,MAX(0,Horaires3567310[[#This Row],[PNP Fin corrigée]]-(1+deb_dimJF)),0))*24</f>
        <v>0</v>
      </c>
      <c r="R47" s="55">
        <f>(IF(COUNTIF(JF,Horaires3567310[[#This Row],[Date]]),MAX(0,MIN(fin_dimJF,Horaires3567310[[#This Row],[Fin corrigée si nuit]])-MAX(deb_dimJF,Horaires3567310[[#This Row],[début]])),0)+IF(COUNTIF(JF,Horaires3567310[[#This Row],[Date]]+1),MAX(0,Horaires3567310[[#This Row],[Fin corrigée si nuit]]-(1+deb_dimJF)),0))*24</f>
        <v>0</v>
      </c>
      <c r="S47" s="55">
        <f>(IF(COUNTIF(JF,Horaires3567310[[#This Row],[Date]]),MAX(0,MIN(fin_dimJF,Horaires3567310[[#This Row],[Fin corrigée si nuit]])-MAX(deb_dimJF,Horaires3567310[[#This Row],[début]])),0)+IF(COUNTIF(JF,Horaires3567310[[#This Row],[Date]]+1),MAX(0,Horaires3567310[[#This Row],[Fin corrigée si nuit]]-(1+deb_dimJF)),0))*24-
(IF(COUNTIF(JF,Horaires3567310[[#This Row],[Date]]),MAX(0,MIN(fin_dimJF,Horaires3567310[[#This Row],[PNP Fin corrigée]])-MAX(deb_dimJF,Horaires3567310[[#This Row],[PNP Début corrigé]])),0)+IF(COUNTIF(JF,Horaires3567310[[#This Row],[Date]]+1),MAX(0,Horaires3567310[[#This Row],[PNP Fin corrigée]]-(1+deb_dimJF)),0))*24</f>
        <v>0</v>
      </c>
    </row>
    <row r="48" spans="1:19" x14ac:dyDescent="0.35">
      <c r="A48" s="5"/>
      <c r="B48" s="1"/>
      <c r="C48" s="2"/>
      <c r="D48" s="2"/>
      <c r="E48" s="3"/>
      <c r="F48" s="3"/>
      <c r="G48" s="3"/>
      <c r="H48" s="3"/>
      <c r="I48" s="51">
        <f>0.1*(Horaires3567310[[#This Row],[Heures de nuit]]+Horaires3567310[[#This Row],[heures jour dimanche]]+Horaires3567310[[#This Row],[heures jour fériés]])</f>
        <v>0</v>
      </c>
      <c r="J48" s="52">
        <f>(MOD(Horaires3567310[[#This Row],[Fin]]-Horaires3567310[[#This Row],[début]],1)-MOD(Horaires3567310[[#This Row],[PNP Fin]]-Horaires3567310[[#This Row],[PNP Début]],1))*24</f>
        <v>0</v>
      </c>
      <c r="K48" s="53">
        <f>IF(Horaires3567310[[#This Row],[PNP Début]]=0,0,IF(Horaires3567310[[#This Row],[PNP Début]]&lt;Horaires3567310[[#This Row],[début]],1,0)+Horaires3567310[[#This Row],[PNP Début]])</f>
        <v>0</v>
      </c>
      <c r="L48" s="54">
        <f>IF(Horaires3567310[[#This Row],[PNP Fin]]=0,0,IF(Horaires3567310[[#This Row],[PNP Fin]]&lt;Horaires3567310[[#This Row],[début]],1,0)+Horaires3567310[[#This Row],[PNP Fin]])</f>
        <v>0</v>
      </c>
      <c r="M48" s="54">
        <f>IF(Horaires3567310[[#This Row],[Fin]]&lt;Horaires3567310[[#This Row],[début]],1,0)+Horaires3567310[[#This Row],[Fin]]</f>
        <v>0</v>
      </c>
      <c r="N48" s="35">
        <f>IF(Horaires3567310[[#This Row],[Fin]]&lt;Horaires3567310[[#This Row],[début]],MAX(0,MIN(Horaires3567310[[#This Row],[Fin corrigée si nuit]],fin_nuit)-MAX(Horaires3567310[[#This Row],[début]],deb_nuit))*24,(MAX(deb_nuit,Horaires3567310[[#This Row],[Fin]])-MAX(deb_nuit,Horaires3567310[[#This Row],[début]])+MAX(MIN(fin_nuit-1,Horaires3567310[[#This Row],[Fin]])-MIN(fin_nuit-1,Horaires3567310[[#This Row],[début]]),0))*24)</f>
        <v>0</v>
      </c>
      <c r="O48" s="55">
        <f>(MAX(0,MIN(Horaires3567310[[#This Row],[Fin corrigée si nuit]],fin_nuit)-MAX(Horaires3567310[[#This Row],[début]],deb_nuit))-IF(Horaires3567310[[#This Row],[PNP Début]]=0,0,MIN(Horaires3567310[[#This Row],[PNP Fin corrigée]],fin_nuit)-MAX(Horaires3567310[[#This Row],[PNP Début corrigé]],deb_nuit)))*24</f>
        <v>0</v>
      </c>
      <c r="P48" s="55">
        <f>(IF(WEEKDAY(Horaires3567310[[#This Row],[Date]],2)=7,MAX(0,MIN(fin_dimJF,Horaires3567310[[#This Row],[Fin corrigée si nuit]])-MAX(deb_dimJF,Horaires3567310[[#This Row],[début]])),0)+IF(WEEKDAY(Horaires3567310[[#This Row],[Date]],2)=6,MAX(0,Horaires3567310[[#This Row],[Fin corrigée si nuit]]-(1+deb_dimJF)),0))*24</f>
        <v>0</v>
      </c>
      <c r="Q48" s="55">
        <f>(IF(WEEKDAY(Horaires3567310[[#This Row],[Date]],2)=7,MAX(0,MIN(fin_dimJF,Horaires3567310[[#This Row],[Fin corrigée si nuit]])-MAX(deb_dimJF,Horaires3567310[[#This Row],[début]])),0)+IF(WEEKDAY(Horaires3567310[[#This Row],[Date]],2)=6,MAX(0,Horaires3567310[[#This Row],[Fin corrigée si nuit]]-(1+deb_dimJF)),0))*24-
(IF(WEEKDAY(Horaires3567310[[#This Row],[Date]],2)=7,MAX(0,MIN(fin_dimJF,Horaires3567310[[#This Row],[PNP Fin corrigée]])-MAX(deb_dimJF,Horaires3567310[[#This Row],[PNP Début corrigé]])),0)+IF(WEEKDAY(Horaires3567310[[#This Row],[Date]],2)=6,MAX(0,Horaires3567310[[#This Row],[PNP Fin corrigée]]-(1+deb_dimJF)),0))*24</f>
        <v>0</v>
      </c>
      <c r="R48" s="55">
        <f>(IF(COUNTIF(JF,Horaires3567310[[#This Row],[Date]]),MAX(0,MIN(fin_dimJF,Horaires3567310[[#This Row],[Fin corrigée si nuit]])-MAX(deb_dimJF,Horaires3567310[[#This Row],[début]])),0)+IF(COUNTIF(JF,Horaires3567310[[#This Row],[Date]]+1),MAX(0,Horaires3567310[[#This Row],[Fin corrigée si nuit]]-(1+deb_dimJF)),0))*24</f>
        <v>0</v>
      </c>
      <c r="S48" s="55">
        <f>(IF(COUNTIF(JF,Horaires3567310[[#This Row],[Date]]),MAX(0,MIN(fin_dimJF,Horaires3567310[[#This Row],[Fin corrigée si nuit]])-MAX(deb_dimJF,Horaires3567310[[#This Row],[début]])),0)+IF(COUNTIF(JF,Horaires3567310[[#This Row],[Date]]+1),MAX(0,Horaires3567310[[#This Row],[Fin corrigée si nuit]]-(1+deb_dimJF)),0))*24-
(IF(COUNTIF(JF,Horaires3567310[[#This Row],[Date]]),MAX(0,MIN(fin_dimJF,Horaires3567310[[#This Row],[PNP Fin corrigée]])-MAX(deb_dimJF,Horaires3567310[[#This Row],[PNP Début corrigé]])),0)+IF(COUNTIF(JF,Horaires3567310[[#This Row],[Date]]+1),MAX(0,Horaires3567310[[#This Row],[PNP Fin corrigée]]-(1+deb_dimJF)),0))*24</f>
        <v>0</v>
      </c>
    </row>
    <row r="49" spans="1:19" ht="15" thickBot="1" x14ac:dyDescent="0.4">
      <c r="A49" s="5"/>
      <c r="B49" s="1"/>
      <c r="C49" s="2"/>
      <c r="D49" s="2"/>
      <c r="E49" s="3"/>
      <c r="F49" s="3"/>
      <c r="G49" s="3"/>
      <c r="H49" s="3"/>
      <c r="I49" s="51">
        <f>0.1*(Horaires3567310[[#This Row],[Heures de nuit]]+Horaires3567310[[#This Row],[heures jour dimanche]]+Horaires3567310[[#This Row],[heures jour fériés]])</f>
        <v>0</v>
      </c>
      <c r="J49" s="52">
        <f>(MOD(Horaires3567310[[#This Row],[Fin]]-Horaires3567310[[#This Row],[début]],1)-MOD(Horaires3567310[[#This Row],[PNP Fin]]-Horaires3567310[[#This Row],[PNP Début]],1))*24</f>
        <v>0</v>
      </c>
      <c r="K49" s="53">
        <f>IF(Horaires3567310[[#This Row],[PNP Début]]=0,0,IF(Horaires3567310[[#This Row],[PNP Début]]&lt;Horaires3567310[[#This Row],[début]],1,0)+Horaires3567310[[#This Row],[PNP Début]])</f>
        <v>0</v>
      </c>
      <c r="L49" s="54">
        <f>IF(Horaires3567310[[#This Row],[PNP Fin]]=0,0,IF(Horaires3567310[[#This Row],[PNP Fin]]&lt;Horaires3567310[[#This Row],[début]],1,0)+Horaires3567310[[#This Row],[PNP Fin]])</f>
        <v>0</v>
      </c>
      <c r="M49" s="54">
        <f>IF(Horaires3567310[[#This Row],[Fin]]&lt;Horaires3567310[[#This Row],[début]],1,0)+Horaires3567310[[#This Row],[Fin]]</f>
        <v>0</v>
      </c>
      <c r="N49" s="35">
        <f>IF(Horaires3567310[[#This Row],[Fin]]&lt;Horaires3567310[[#This Row],[début]],MAX(0,MIN(Horaires3567310[[#This Row],[Fin corrigée si nuit]],fin_nuit)-MAX(Horaires3567310[[#This Row],[début]],deb_nuit))*24,(MAX(deb_nuit,Horaires3567310[[#This Row],[Fin]])-MAX(deb_nuit,Horaires3567310[[#This Row],[début]])+MAX(MIN(fin_nuit-1,Horaires3567310[[#This Row],[Fin]])-MIN(fin_nuit-1,Horaires3567310[[#This Row],[début]]),0))*24)</f>
        <v>0</v>
      </c>
      <c r="O49" s="55">
        <f>(MAX(0,MIN(Horaires3567310[[#This Row],[Fin corrigée si nuit]],fin_nuit)-MAX(Horaires3567310[[#This Row],[début]],deb_nuit))-IF(Horaires3567310[[#This Row],[PNP Début]]=0,0,MIN(Horaires3567310[[#This Row],[PNP Fin corrigée]],fin_nuit)-MAX(Horaires3567310[[#This Row],[PNP Début corrigé]],deb_nuit)))*24</f>
        <v>0</v>
      </c>
      <c r="P49" s="55">
        <f>(IF(WEEKDAY(Horaires3567310[[#This Row],[Date]],2)=7,MAX(0,MIN(fin_dimJF,Horaires3567310[[#This Row],[Fin corrigée si nuit]])-MAX(deb_dimJF,Horaires3567310[[#This Row],[début]])),0)+IF(WEEKDAY(Horaires3567310[[#This Row],[Date]],2)=6,MAX(0,Horaires3567310[[#This Row],[Fin corrigée si nuit]]-(1+deb_dimJF)),0))*24</f>
        <v>0</v>
      </c>
      <c r="Q49" s="55">
        <f>(IF(WEEKDAY(Horaires3567310[[#This Row],[Date]],2)=7,MAX(0,MIN(fin_dimJF,Horaires3567310[[#This Row],[Fin corrigée si nuit]])-MAX(deb_dimJF,Horaires3567310[[#This Row],[début]])),0)+IF(WEEKDAY(Horaires3567310[[#This Row],[Date]],2)=6,MAX(0,Horaires3567310[[#This Row],[Fin corrigée si nuit]]-(1+deb_dimJF)),0))*24-
(IF(WEEKDAY(Horaires3567310[[#This Row],[Date]],2)=7,MAX(0,MIN(fin_dimJF,Horaires3567310[[#This Row],[PNP Fin corrigée]])-MAX(deb_dimJF,Horaires3567310[[#This Row],[PNP Début corrigé]])),0)+IF(WEEKDAY(Horaires3567310[[#This Row],[Date]],2)=6,MAX(0,Horaires3567310[[#This Row],[PNP Fin corrigée]]-(1+deb_dimJF)),0))*24</f>
        <v>0</v>
      </c>
      <c r="R49" s="55">
        <f>(IF(COUNTIF(JF,Horaires3567310[[#This Row],[Date]]),MAX(0,MIN(fin_dimJF,Horaires3567310[[#This Row],[Fin corrigée si nuit]])-MAX(deb_dimJF,Horaires3567310[[#This Row],[début]])),0)+IF(COUNTIF(JF,Horaires3567310[[#This Row],[Date]]+1),MAX(0,Horaires3567310[[#This Row],[Fin corrigée si nuit]]-(1+deb_dimJF)),0))*24</f>
        <v>0</v>
      </c>
      <c r="S49" s="55">
        <f>(IF(COUNTIF(JF,Horaires3567310[[#This Row],[Date]]),MAX(0,MIN(fin_dimJF,Horaires3567310[[#This Row],[Fin corrigée si nuit]])-MAX(deb_dimJF,Horaires3567310[[#This Row],[début]])),0)+IF(COUNTIF(JF,Horaires3567310[[#This Row],[Date]]+1),MAX(0,Horaires3567310[[#This Row],[Fin corrigée si nuit]]-(1+deb_dimJF)),0))*24-
(IF(COUNTIF(JF,Horaires3567310[[#This Row],[Date]]),MAX(0,MIN(fin_dimJF,Horaires3567310[[#This Row],[PNP Fin corrigée]])-MAX(deb_dimJF,Horaires3567310[[#This Row],[PNP Début corrigé]])),0)+IF(COUNTIF(JF,Horaires3567310[[#This Row],[Date]]+1),MAX(0,Horaires3567310[[#This Row],[PNP Fin corrigée]]-(1+deb_dimJF)),0))*24</f>
        <v>0</v>
      </c>
    </row>
    <row r="50" spans="1:19" ht="16" thickBot="1" x14ac:dyDescent="0.4">
      <c r="A50" s="56"/>
      <c r="B50" s="19"/>
      <c r="C50" s="19"/>
      <c r="D50" s="19"/>
      <c r="E50" s="113" t="s">
        <v>29</v>
      </c>
      <c r="F50" s="114"/>
      <c r="G50" s="114"/>
      <c r="H50" s="115"/>
      <c r="I50" s="57">
        <f>SUM(Horaires3567310[Majoration])</f>
        <v>0</v>
      </c>
      <c r="J50" s="58">
        <f>SUM(Horaires3567310[Heures totales payées])</f>
        <v>0</v>
      </c>
      <c r="K50" s="19"/>
      <c r="L50" s="19"/>
      <c r="M50" s="19"/>
      <c r="N50" s="19"/>
      <c r="O50" s="19"/>
      <c r="P50" s="19"/>
      <c r="Q50" s="19"/>
      <c r="R50" s="19"/>
      <c r="S50" s="19"/>
    </row>
    <row r="51" spans="1:19" ht="17.399999999999999" customHeight="1" x14ac:dyDescent="0.35">
      <c r="A51" s="116" t="s">
        <v>30</v>
      </c>
      <c r="B51" s="116"/>
      <c r="C51" s="116"/>
      <c r="D51" s="116"/>
      <c r="E51" s="19"/>
      <c r="F51" s="19"/>
      <c r="G51" s="117" t="s">
        <v>31</v>
      </c>
      <c r="H51" s="117"/>
      <c r="I51" s="117"/>
      <c r="J51" s="117"/>
      <c r="K51" s="19"/>
      <c r="L51" s="19"/>
      <c r="M51" s="19"/>
      <c r="N51" s="19"/>
      <c r="O51" s="19"/>
      <c r="P51" s="19"/>
      <c r="Q51" s="19"/>
      <c r="R51" s="19"/>
      <c r="S51" s="19"/>
    </row>
    <row r="52" spans="1:19" x14ac:dyDescent="0.35">
      <c r="A52" s="118"/>
      <c r="B52" s="119"/>
      <c r="C52" s="119"/>
      <c r="D52" s="120"/>
      <c r="E52" s="56"/>
      <c r="F52" s="19"/>
      <c r="G52" s="118"/>
      <c r="H52" s="119"/>
      <c r="I52" s="119"/>
      <c r="J52" s="119"/>
      <c r="K52" s="19"/>
      <c r="L52" s="19"/>
      <c r="M52" s="19"/>
      <c r="N52" s="19"/>
      <c r="O52" s="19"/>
      <c r="P52" s="19"/>
      <c r="Q52" s="19"/>
      <c r="R52" s="19"/>
      <c r="S52" s="19"/>
    </row>
    <row r="53" spans="1:19" x14ac:dyDescent="0.35">
      <c r="A53" s="121"/>
      <c r="B53" s="122"/>
      <c r="C53" s="122"/>
      <c r="D53" s="123"/>
      <c r="E53" s="19"/>
      <c r="F53" s="19"/>
      <c r="G53" s="121"/>
      <c r="H53" s="122"/>
      <c r="I53" s="122"/>
      <c r="J53" s="122"/>
      <c r="K53" s="19"/>
      <c r="L53" s="19"/>
      <c r="M53" s="19"/>
      <c r="N53" s="19"/>
      <c r="O53" s="19"/>
      <c r="P53" s="19"/>
      <c r="Q53" s="19"/>
      <c r="R53" s="19"/>
      <c r="S53" s="19"/>
    </row>
    <row r="54" spans="1:19" ht="7.75" customHeight="1" x14ac:dyDescent="0.35">
      <c r="A54" s="124"/>
      <c r="B54" s="125"/>
      <c r="C54" s="125"/>
      <c r="D54" s="126"/>
      <c r="E54" s="56"/>
      <c r="F54" s="19"/>
      <c r="G54" s="124"/>
      <c r="H54" s="125"/>
      <c r="I54" s="125"/>
      <c r="J54" s="125"/>
      <c r="K54" s="19"/>
      <c r="L54" s="19"/>
      <c r="M54" s="19"/>
      <c r="N54" s="19"/>
      <c r="O54" s="19"/>
      <c r="P54" s="19"/>
      <c r="Q54" s="19"/>
      <c r="R54" s="19"/>
      <c r="S54" s="19"/>
    </row>
    <row r="55" spans="1:19" x14ac:dyDescent="0.35">
      <c r="A55" s="56"/>
      <c r="B55" s="19"/>
      <c r="C55" s="19"/>
      <c r="D55" s="19"/>
      <c r="E55" s="19"/>
      <c r="F55" s="19"/>
      <c r="G55" s="19"/>
      <c r="H55" s="19"/>
      <c r="I55" s="19"/>
      <c r="J55" s="62"/>
      <c r="K55" s="19"/>
      <c r="L55" s="19"/>
      <c r="M55" s="19"/>
      <c r="N55" s="19"/>
      <c r="O55" s="19"/>
      <c r="P55" s="19"/>
      <c r="Q55" s="19"/>
      <c r="R55" s="19"/>
      <c r="S55" s="19"/>
    </row>
    <row r="56" spans="1:19" x14ac:dyDescent="0.35">
      <c r="A56" s="19"/>
      <c r="B56" s="19"/>
      <c r="C56" s="19"/>
      <c r="D56" s="19"/>
      <c r="E56" s="19"/>
      <c r="F56" s="19"/>
      <c r="G56" s="19"/>
      <c r="H56" s="19"/>
      <c r="I56" s="19"/>
      <c r="J56" s="20"/>
      <c r="K56" s="19"/>
      <c r="L56" s="19"/>
      <c r="M56" s="19"/>
      <c r="N56" s="19"/>
      <c r="O56" s="19"/>
      <c r="P56" s="19"/>
      <c r="Q56" s="19"/>
      <c r="R56" s="19"/>
      <c r="S56" s="19"/>
    </row>
    <row r="57" spans="1:19" x14ac:dyDescent="0.35">
      <c r="A57" s="19"/>
      <c r="B57" s="19"/>
      <c r="C57" s="19"/>
      <c r="D57" s="19"/>
      <c r="E57" s="19"/>
      <c r="F57" s="19"/>
      <c r="G57" s="19"/>
      <c r="H57" s="19"/>
      <c r="I57" s="19"/>
      <c r="J57" s="20"/>
      <c r="K57" s="19"/>
      <c r="L57" s="19"/>
      <c r="M57" s="19"/>
      <c r="N57" s="19"/>
      <c r="O57" s="19"/>
      <c r="P57" s="19"/>
      <c r="Q57" s="19"/>
      <c r="R57" s="19"/>
      <c r="S57" s="19"/>
    </row>
    <row r="58" spans="1:19" x14ac:dyDescent="0.35">
      <c r="A58" s="19"/>
      <c r="B58" s="19"/>
      <c r="C58" s="19"/>
      <c r="D58" s="19"/>
      <c r="E58" s="19"/>
      <c r="F58" s="19"/>
      <c r="G58" s="19"/>
      <c r="H58" s="19"/>
      <c r="I58" s="19"/>
      <c r="J58" s="20"/>
      <c r="K58" s="19"/>
      <c r="L58" s="19"/>
      <c r="M58" s="19"/>
      <c r="N58" s="19"/>
      <c r="O58" s="19"/>
      <c r="P58" s="19"/>
      <c r="Q58" s="19"/>
      <c r="R58" s="19"/>
      <c r="S58" s="19"/>
    </row>
    <row r="59" spans="1:19" x14ac:dyDescent="0.35">
      <c r="A59" s="19"/>
      <c r="B59" s="19"/>
      <c r="C59" s="19"/>
      <c r="D59" s="19"/>
      <c r="E59" s="19"/>
      <c r="F59" s="19"/>
      <c r="G59" s="19"/>
      <c r="H59" s="19"/>
      <c r="I59" s="19"/>
      <c r="J59" s="20"/>
      <c r="K59" s="19"/>
      <c r="L59" s="19"/>
      <c r="M59" s="19"/>
      <c r="N59" s="19"/>
      <c r="O59" s="19"/>
      <c r="P59" s="19"/>
      <c r="Q59" s="19"/>
      <c r="R59" s="19"/>
      <c r="S59" s="19"/>
    </row>
    <row r="60" spans="1:19" x14ac:dyDescent="0.35">
      <c r="A60" s="19"/>
      <c r="B60" s="19"/>
      <c r="C60" s="19"/>
      <c r="D60" s="19"/>
      <c r="E60" s="19"/>
      <c r="F60" s="19"/>
      <c r="G60" s="19"/>
      <c r="H60" s="19"/>
      <c r="I60" s="19"/>
      <c r="J60" s="20"/>
      <c r="K60" s="19"/>
      <c r="L60" s="19"/>
      <c r="M60" s="19"/>
      <c r="N60" s="19"/>
      <c r="O60" s="19"/>
      <c r="P60" s="19"/>
      <c r="Q60" s="19"/>
      <c r="R60" s="19"/>
      <c r="S60" s="19"/>
    </row>
  </sheetData>
  <sheetProtection selectLockedCells="1"/>
  <mergeCells count="19">
    <mergeCell ref="E50:H50"/>
    <mergeCell ref="A51:D51"/>
    <mergeCell ref="G51:J51"/>
    <mergeCell ref="A52:D54"/>
    <mergeCell ref="G52:J54"/>
    <mergeCell ref="A1:B2"/>
    <mergeCell ref="A3:J4"/>
    <mergeCell ref="D5:F5"/>
    <mergeCell ref="G5:H5"/>
    <mergeCell ref="J9:J11"/>
    <mergeCell ref="C10:C11"/>
    <mergeCell ref="D10:D11"/>
    <mergeCell ref="E10:F10"/>
    <mergeCell ref="G10:H10"/>
    <mergeCell ref="A9:A11"/>
    <mergeCell ref="B9:B11"/>
    <mergeCell ref="C9:D9"/>
    <mergeCell ref="E9:H9"/>
    <mergeCell ref="I9:I11"/>
  </mergeCells>
  <dataValidations count="3">
    <dataValidation type="date" operator="greaterThan" allowBlank="1" showInputMessage="1" showErrorMessage="1" error="Tapez le mois sous le format suivant_x000a_09/17" promptTitle="Mois du relevé" sqref="J5">
      <formula1>42736</formula1>
    </dataValidation>
    <dataValidation type="time" allowBlank="1" showInputMessage="1" showErrorMessage="1" error="Tapez les heures sous le format_x000a_00:00" sqref="C13:H49">
      <formula1>0</formula1>
      <formula2>0.999305555555556</formula2>
    </dataValidation>
    <dataValidation allowBlank="1" showInputMessage="1" showErrorMessage="1" error="Tapez les heures sous le format_x000a_00:00" sqref="K12:N49"/>
  </dataValidations>
  <printOptions horizontalCentered="1"/>
  <pageMargins left="0" right="0" top="0" bottom="0" header="0" footer="0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10241" r:id="rId4" name="CommandButton1">
          <controlPr defaultSize="0" print="0" autoLine="0" r:id="rId5">
            <anchor moveWithCells="1">
              <from>
                <xdr:col>19</xdr:col>
                <xdr:colOff>0</xdr:colOff>
                <xdr:row>0</xdr:row>
                <xdr:rowOff>184150</xdr:rowOff>
              </from>
              <to>
                <xdr:col>20</xdr:col>
                <xdr:colOff>31750</xdr:colOff>
                <xdr:row>4</xdr:row>
                <xdr:rowOff>69850</xdr:rowOff>
              </to>
            </anchor>
          </controlPr>
        </control>
      </mc:Choice>
      <mc:Fallback>
        <control shapeId="10241" r:id="rId4" name="CommandButton1"/>
      </mc:Fallback>
    </mc:AlternateContent>
  </controls>
  <tableParts count="1">
    <tablePart r:id="rId6"/>
  </tableParts>
</worksheet>
</file>

<file path=xl/worksheets/sheet1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1"/>
  <dimension ref="A1:S60"/>
  <sheetViews>
    <sheetView workbookViewId="0">
      <selection activeCell="U7" sqref="U7"/>
    </sheetView>
  </sheetViews>
  <sheetFormatPr baseColWidth="10" defaultRowHeight="14.5" x14ac:dyDescent="0.35"/>
  <cols>
    <col min="1" max="1" width="20.1796875" customWidth="1"/>
    <col min="2" max="2" width="12.90625" customWidth="1"/>
    <col min="3" max="3" width="8.90625" customWidth="1"/>
    <col min="4" max="4" width="7.453125" customWidth="1"/>
    <col min="5" max="5" width="7" customWidth="1"/>
    <col min="6" max="6" width="6.81640625" customWidth="1"/>
    <col min="7" max="7" width="7" customWidth="1"/>
    <col min="8" max="8" width="7.81640625" customWidth="1"/>
    <col min="9" max="9" width="10.81640625" customWidth="1"/>
    <col min="10" max="10" width="11.54296875" style="15" customWidth="1"/>
    <col min="11" max="11" width="14.453125" hidden="1" customWidth="1"/>
    <col min="12" max="12" width="12.08984375" hidden="1" customWidth="1"/>
    <col min="13" max="13" width="15" hidden="1" customWidth="1"/>
    <col min="14" max="15" width="13.81640625" hidden="1" customWidth="1"/>
    <col min="16" max="19" width="15" hidden="1" customWidth="1"/>
  </cols>
  <sheetData>
    <row r="1" spans="1:19" ht="15.65" customHeight="1" x14ac:dyDescent="0.35">
      <c r="A1" s="101" t="s">
        <v>48</v>
      </c>
      <c r="B1" s="101"/>
      <c r="C1" s="16"/>
      <c r="D1" s="16"/>
      <c r="E1" s="17"/>
      <c r="F1" s="17"/>
      <c r="G1" s="17"/>
      <c r="H1" s="18" t="s">
        <v>35</v>
      </c>
      <c r="I1" s="18"/>
      <c r="J1" s="18"/>
      <c r="K1" s="16"/>
      <c r="L1" s="16"/>
      <c r="M1" s="16"/>
      <c r="N1" s="16"/>
      <c r="O1" s="19"/>
      <c r="P1" s="19"/>
      <c r="Q1" s="19"/>
      <c r="R1" s="19"/>
      <c r="S1" s="19"/>
    </row>
    <row r="2" spans="1:19" ht="14.4" customHeight="1" x14ac:dyDescent="0.35">
      <c r="A2" s="101"/>
      <c r="B2" s="101"/>
      <c r="C2" s="16"/>
      <c r="D2" s="16"/>
      <c r="E2" s="16"/>
      <c r="F2" s="16"/>
      <c r="G2" s="16"/>
      <c r="H2" s="16"/>
      <c r="I2" s="16"/>
      <c r="J2" s="20"/>
      <c r="K2" s="16"/>
      <c r="L2" s="16"/>
      <c r="M2" s="16"/>
      <c r="N2" s="16"/>
      <c r="O2" s="19"/>
      <c r="P2" s="19"/>
      <c r="Q2" s="19"/>
      <c r="R2" s="19"/>
      <c r="S2" s="19"/>
    </row>
    <row r="3" spans="1:19" ht="14.4" customHeight="1" x14ac:dyDescent="0.35">
      <c r="A3" s="102" t="s">
        <v>37</v>
      </c>
      <c r="B3" s="102"/>
      <c r="C3" s="102"/>
      <c r="D3" s="102"/>
      <c r="E3" s="102"/>
      <c r="F3" s="102"/>
      <c r="G3" s="102"/>
      <c r="H3" s="102"/>
      <c r="I3" s="102"/>
      <c r="J3" s="102"/>
      <c r="K3" s="16"/>
      <c r="L3" s="16"/>
      <c r="M3" s="16"/>
      <c r="N3" s="16"/>
      <c r="O3" s="19"/>
      <c r="P3" s="19"/>
      <c r="Q3" s="19"/>
      <c r="R3" s="19"/>
      <c r="S3" s="19"/>
    </row>
    <row r="4" spans="1:19" ht="19.25" customHeight="1" thickBot="1" x14ac:dyDescent="0.4">
      <c r="A4" s="103"/>
      <c r="B4" s="103"/>
      <c r="C4" s="103"/>
      <c r="D4" s="103"/>
      <c r="E4" s="103"/>
      <c r="F4" s="103"/>
      <c r="G4" s="103"/>
      <c r="H4" s="103"/>
      <c r="I4" s="103"/>
      <c r="J4" s="103"/>
      <c r="K4" s="19"/>
      <c r="L4" s="19"/>
      <c r="M4" s="19"/>
      <c r="N4" s="19"/>
      <c r="O4" s="19"/>
      <c r="P4" s="19"/>
      <c r="Q4" s="19"/>
      <c r="R4" s="19"/>
      <c r="S4" s="19"/>
    </row>
    <row r="5" spans="1:19" ht="19.75" customHeight="1" x14ac:dyDescent="0.35">
      <c r="A5" s="95" t="s">
        <v>113</v>
      </c>
      <c r="B5" s="96">
        <f>'Janvier 18'!B5</f>
        <v>0</v>
      </c>
      <c r="C5" s="21" t="s">
        <v>36</v>
      </c>
      <c r="D5" s="104">
        <f>'Janvier 18'!D5:F5</f>
        <v>0</v>
      </c>
      <c r="E5" s="105"/>
      <c r="F5" s="105"/>
      <c r="G5" s="106" t="s">
        <v>22</v>
      </c>
      <c r="H5" s="106"/>
      <c r="I5" s="64" t="str">
        <f ca="1">MID(CELL("filename",A1),FIND("]",CELL("filename",A1))+1,99)</f>
        <v>Août 18</v>
      </c>
      <c r="J5" s="97"/>
      <c r="K5" s="19"/>
      <c r="L5" s="19"/>
      <c r="M5" s="19"/>
      <c r="N5" s="19"/>
      <c r="O5" s="19"/>
      <c r="P5" s="19"/>
      <c r="Q5" s="19"/>
      <c r="R5" s="19"/>
      <c r="S5" s="19"/>
    </row>
    <row r="6" spans="1:19" ht="9.65" customHeight="1" x14ac:dyDescent="0.35">
      <c r="A6" s="22"/>
      <c r="B6" s="23"/>
      <c r="C6" s="23"/>
      <c r="D6" s="23"/>
      <c r="E6" s="23"/>
      <c r="F6" s="23"/>
      <c r="G6" s="23"/>
      <c r="H6" s="23"/>
      <c r="I6" s="23"/>
      <c r="J6" s="24"/>
      <c r="K6" s="19"/>
      <c r="L6" s="19"/>
      <c r="M6" s="19"/>
      <c r="N6" s="19"/>
      <c r="O6" s="19"/>
      <c r="P6" s="19"/>
      <c r="Q6" s="19"/>
      <c r="R6" s="19"/>
      <c r="S6" s="19"/>
    </row>
    <row r="7" spans="1:19" ht="15" thickBot="1" x14ac:dyDescent="0.4">
      <c r="A7" s="59" t="s">
        <v>23</v>
      </c>
      <c r="B7" s="98">
        <f>'Janvier 18'!B7</f>
        <v>0</v>
      </c>
      <c r="C7" s="25" t="s">
        <v>24</v>
      </c>
      <c r="D7" s="25"/>
      <c r="E7" s="98">
        <f>'Janvier 18'!E7</f>
        <v>0</v>
      </c>
      <c r="F7" s="25"/>
      <c r="G7" s="25"/>
      <c r="H7" s="25"/>
      <c r="I7" s="25"/>
      <c r="J7" s="26"/>
      <c r="K7" s="19"/>
      <c r="L7" s="19"/>
      <c r="M7" s="19"/>
      <c r="N7" s="19"/>
      <c r="O7" s="19"/>
      <c r="P7" s="19"/>
      <c r="Q7" s="19"/>
      <c r="R7" s="19"/>
      <c r="S7" s="19"/>
    </row>
    <row r="8" spans="1:19" ht="9.65" customHeight="1" x14ac:dyDescent="0.35">
      <c r="A8" s="19"/>
      <c r="B8" s="19"/>
      <c r="C8" s="19"/>
      <c r="D8" s="19"/>
      <c r="E8" s="19"/>
      <c r="F8" s="19"/>
      <c r="G8" s="19"/>
      <c r="H8" s="19"/>
      <c r="I8" s="19"/>
      <c r="J8" s="20"/>
      <c r="K8" s="19"/>
      <c r="L8" s="19"/>
      <c r="M8" s="19"/>
      <c r="N8" s="19"/>
      <c r="O8" s="19"/>
      <c r="P8" s="19"/>
      <c r="Q8" s="19"/>
      <c r="R8" s="19"/>
      <c r="S8" s="19"/>
    </row>
    <row r="9" spans="1:19" ht="16.75" customHeight="1" x14ac:dyDescent="0.35">
      <c r="A9" s="111" t="s">
        <v>0</v>
      </c>
      <c r="B9" s="111" t="s">
        <v>1</v>
      </c>
      <c r="C9" s="111" t="s">
        <v>2</v>
      </c>
      <c r="D9" s="111"/>
      <c r="E9" s="110" t="s">
        <v>25</v>
      </c>
      <c r="F9" s="110"/>
      <c r="G9" s="110"/>
      <c r="H9" s="110"/>
      <c r="I9" s="112" t="s">
        <v>21</v>
      </c>
      <c r="J9" s="108" t="s">
        <v>65</v>
      </c>
      <c r="K9" s="19"/>
      <c r="L9" s="19"/>
      <c r="M9" s="19"/>
      <c r="N9" s="19"/>
      <c r="O9" s="19"/>
      <c r="P9" s="19"/>
      <c r="Q9" s="19"/>
      <c r="R9" s="19"/>
      <c r="S9" s="19"/>
    </row>
    <row r="10" spans="1:19" x14ac:dyDescent="0.35">
      <c r="A10" s="111"/>
      <c r="B10" s="111"/>
      <c r="C10" s="109" t="s">
        <v>3</v>
      </c>
      <c r="D10" s="109" t="s">
        <v>4</v>
      </c>
      <c r="E10" s="110" t="s">
        <v>26</v>
      </c>
      <c r="F10" s="110"/>
      <c r="G10" s="110" t="s">
        <v>27</v>
      </c>
      <c r="H10" s="110"/>
      <c r="I10" s="112"/>
      <c r="J10" s="108"/>
      <c r="K10" s="19"/>
      <c r="L10" s="19"/>
      <c r="M10" s="19"/>
      <c r="N10" s="19"/>
      <c r="O10" s="19"/>
      <c r="P10" s="19"/>
      <c r="Q10" s="19"/>
      <c r="R10" s="19"/>
      <c r="S10" s="19"/>
    </row>
    <row r="11" spans="1:19" x14ac:dyDescent="0.35">
      <c r="A11" s="111"/>
      <c r="B11" s="111"/>
      <c r="C11" s="109"/>
      <c r="D11" s="109"/>
      <c r="E11" s="72" t="s">
        <v>28</v>
      </c>
      <c r="F11" s="72" t="s">
        <v>4</v>
      </c>
      <c r="G11" s="72" t="s">
        <v>28</v>
      </c>
      <c r="H11" s="72" t="s">
        <v>4</v>
      </c>
      <c r="I11" s="112"/>
      <c r="J11" s="108"/>
      <c r="K11" s="27"/>
      <c r="L11" s="19"/>
      <c r="M11" s="19"/>
      <c r="N11" s="19"/>
      <c r="O11" s="19"/>
      <c r="P11" s="19"/>
      <c r="Q11" s="19"/>
      <c r="R11" s="19"/>
      <c r="S11" s="19"/>
    </row>
    <row r="12" spans="1:19" s="8" customFormat="1" ht="43.5" hidden="1" x14ac:dyDescent="0.35">
      <c r="A12" s="28" t="s">
        <v>0</v>
      </c>
      <c r="B12" s="29" t="s">
        <v>1</v>
      </c>
      <c r="C12" s="29" t="s">
        <v>3</v>
      </c>
      <c r="D12" s="29" t="s">
        <v>4</v>
      </c>
      <c r="E12" s="29" t="s">
        <v>8</v>
      </c>
      <c r="F12" s="29" t="s">
        <v>9</v>
      </c>
      <c r="G12" s="29" t="s">
        <v>10</v>
      </c>
      <c r="H12" s="29" t="s">
        <v>11</v>
      </c>
      <c r="I12" s="30" t="s">
        <v>21</v>
      </c>
      <c r="J12" s="29" t="s">
        <v>12</v>
      </c>
      <c r="K12" s="29" t="s">
        <v>18</v>
      </c>
      <c r="L12" s="29" t="s">
        <v>19</v>
      </c>
      <c r="M12" s="29" t="s">
        <v>17</v>
      </c>
      <c r="N12" s="29" t="s">
        <v>32</v>
      </c>
      <c r="O12" s="29" t="s">
        <v>20</v>
      </c>
      <c r="P12" s="29" t="s">
        <v>5</v>
      </c>
      <c r="Q12" s="29" t="s">
        <v>33</v>
      </c>
      <c r="R12" s="31" t="s">
        <v>6</v>
      </c>
      <c r="S12" s="31" t="s">
        <v>34</v>
      </c>
    </row>
    <row r="13" spans="1:19" x14ac:dyDescent="0.35">
      <c r="A13" s="5"/>
      <c r="B13" s="1"/>
      <c r="C13" s="2"/>
      <c r="D13" s="2"/>
      <c r="E13" s="3"/>
      <c r="F13" s="3"/>
      <c r="G13" s="3"/>
      <c r="H13" s="3"/>
      <c r="I13" s="32">
        <f>0.1*(Horaires356715[[#This Row],[Heures de nuit]]+Horaires356715[[#This Row],[heures jour dimanche]]+Horaires356715[[#This Row],[heures jour fériés]])</f>
        <v>0</v>
      </c>
      <c r="J13" s="33">
        <f>(MOD(Horaires356715[[#This Row],[Fin]]-Horaires356715[[#This Row],[début]],1)-MOD(Horaires356715[[#This Row],[PNP Fin]]-Horaires356715[[#This Row],[PNP Début]],1))*24</f>
        <v>0</v>
      </c>
      <c r="K13" s="34">
        <f>IF(Horaires356715[[#This Row],[PNP Début]]=0,0,IF(Horaires356715[[#This Row],[PNP Début]]&lt;Horaires356715[[#This Row],[début]],1,0)+Horaires356715[[#This Row],[PNP Début]])</f>
        <v>0</v>
      </c>
      <c r="L13" s="34">
        <f>IF(Horaires356715[[#This Row],[PNP Fin]]=0,0,IF(Horaires356715[[#This Row],[PNP Fin]]&lt;Horaires356715[[#This Row],[début]],1,0)+Horaires356715[[#This Row],[PNP Fin]])</f>
        <v>0</v>
      </c>
      <c r="M13" s="34">
        <f>IF(Horaires356715[[#This Row],[Fin]]&lt;Horaires356715[[#This Row],[début]],1,0)+Horaires356715[[#This Row],[Fin]]</f>
        <v>0</v>
      </c>
      <c r="N13" s="35">
        <f>IF(Horaires356715[[#This Row],[Fin]]&lt;Horaires356715[[#This Row],[début]],MAX(0,MIN(Horaires356715[[#This Row],[Fin corrigée si nuit]],fin_nuit)-MAX(Horaires356715[[#This Row],[début]],deb_nuit))*24,(MAX(deb_nuit,Horaires356715[[#This Row],[Fin]])-MAX(deb_nuit,Horaires356715[[#This Row],[début]])+MAX(MIN(fin_nuit-1,Horaires356715[[#This Row],[Fin]])-MIN(fin_nuit-1,Horaires356715[[#This Row],[début]]),0))*24)</f>
        <v>0</v>
      </c>
      <c r="O13" s="35">
        <f>(MAX(0,MIN(Horaires356715[[#This Row],[Fin corrigée si nuit]],fin_nuit)-MAX(Horaires356715[[#This Row],[début]],deb_nuit))-IF(Horaires356715[[#This Row],[PNP Début]]=0,0,MIN(Horaires356715[[#This Row],[PNP Fin corrigée]],fin_nuit)-MAX(Horaires356715[[#This Row],[PNP Début corrigé]],deb_nuit)))*24</f>
        <v>0</v>
      </c>
      <c r="P13" s="35">
        <f>(IF(WEEKDAY(Horaires356715[[#This Row],[Date]],2)=7,MAX(0,MIN(fin_dimJF,Horaires356715[[#This Row],[Fin corrigée si nuit]])-MAX(deb_dimJF,Horaires356715[[#This Row],[début]])),0)+IF(WEEKDAY(Horaires356715[[#This Row],[Date]],2)=6,MAX(0,Horaires356715[[#This Row],[Fin corrigée si nuit]]-(1+deb_dimJF)),0))*24</f>
        <v>0</v>
      </c>
      <c r="Q13" s="35">
        <f>(IF(WEEKDAY(Horaires356715[[#This Row],[Date]],2)=7,MAX(0,MIN(fin_dimJF,Horaires356715[[#This Row],[Fin corrigée si nuit]])-MAX(deb_dimJF,Horaires356715[[#This Row],[début]])),0)+IF(WEEKDAY(Horaires356715[[#This Row],[Date]],2)=6,MAX(0,Horaires356715[[#This Row],[Fin corrigée si nuit]]-(1+deb_dimJF)),0))*24-
(IF(WEEKDAY(Horaires356715[[#This Row],[Date]],2)=7,MAX(0,MIN(fin_dimJF,Horaires356715[[#This Row],[PNP Fin corrigée]])-MAX(deb_dimJF,Horaires356715[[#This Row],[PNP Début corrigé]])),0)+IF(WEEKDAY(Horaires356715[[#This Row],[Date]],2)=6,MAX(0,Horaires356715[[#This Row],[PNP Fin corrigée]]-(1+deb_dimJF)),0))*24</f>
        <v>0</v>
      </c>
      <c r="R13" s="36">
        <f>(IF(COUNTIF(JF,Horaires356715[[#This Row],[Date]]),MAX(0,MIN(fin_dimJF,Horaires356715[[#This Row],[Fin corrigée si nuit]])-MAX(deb_dimJF,Horaires356715[[#This Row],[début]])),0)+IF(COUNTIF(JF,Horaires356715[[#This Row],[Date]]+1),MAX(0,Horaires356715[[#This Row],[Fin corrigée si nuit]]-(1+deb_dimJF)),0))*24</f>
        <v>0</v>
      </c>
      <c r="S13" s="36">
        <f>(IF(COUNTIF(JF,Horaires356715[[#This Row],[Date]]),MAX(0,MIN(fin_dimJF,Horaires356715[[#This Row],[Fin corrigée si nuit]])-MAX(deb_dimJF,Horaires356715[[#This Row],[début]])),0)+IF(COUNTIF(JF,Horaires356715[[#This Row],[Date]]+1),MAX(0,Horaires356715[[#This Row],[Fin corrigée si nuit]]-(1+deb_dimJF)),0))*24-
(IF(COUNTIF(JF,Horaires356715[[#This Row],[Date]]),MAX(0,MIN(fin_dimJF,Horaires356715[[#This Row],[PNP Fin corrigée]])-MAX(deb_dimJF,Horaires356715[[#This Row],[PNP Début corrigé]])),0)+IF(COUNTIF(JF,Horaires356715[[#This Row],[Date]]+1),MAX(0,Horaires356715[[#This Row],[PNP Fin corrigée]]-(1+deb_dimJF)),0))*24</f>
        <v>0</v>
      </c>
    </row>
    <row r="14" spans="1:19" x14ac:dyDescent="0.35">
      <c r="A14" s="5"/>
      <c r="B14" s="1"/>
      <c r="C14" s="2"/>
      <c r="D14" s="2"/>
      <c r="E14" s="3"/>
      <c r="F14" s="3"/>
      <c r="G14" s="3"/>
      <c r="H14" s="3"/>
      <c r="I14" s="32">
        <f>0.1*(Horaires356715[[#This Row],[Heures de nuit]]+Horaires356715[[#This Row],[heures jour dimanche]]+Horaires356715[[#This Row],[heures jour fériés]])</f>
        <v>0</v>
      </c>
      <c r="J14" s="33">
        <f>(MOD(Horaires356715[[#This Row],[Fin]]-Horaires356715[[#This Row],[début]],1)-MOD(Horaires356715[[#This Row],[PNP Fin]]-Horaires356715[[#This Row],[PNP Début]],1))*24</f>
        <v>0</v>
      </c>
      <c r="K14" s="34">
        <f>IF(Horaires356715[[#This Row],[PNP Début]]=0,0,IF(Horaires356715[[#This Row],[PNP Début]]&lt;Horaires356715[[#This Row],[début]],1,0)+Horaires356715[[#This Row],[PNP Début]])</f>
        <v>0</v>
      </c>
      <c r="L14" s="34">
        <f>IF(Horaires356715[[#This Row],[PNP Fin]]=0,0,IF(Horaires356715[[#This Row],[PNP Fin]]&lt;Horaires356715[[#This Row],[début]],1,0)+Horaires356715[[#This Row],[PNP Fin]])</f>
        <v>0</v>
      </c>
      <c r="M14" s="34">
        <f>IF(Horaires356715[[#This Row],[Fin]]&lt;Horaires356715[[#This Row],[début]],1,0)+Horaires356715[[#This Row],[Fin]]</f>
        <v>0</v>
      </c>
      <c r="N14" s="35">
        <f>IF(Horaires356715[[#This Row],[Fin]]&lt;Horaires356715[[#This Row],[début]],MAX(0,MIN(Horaires356715[[#This Row],[Fin corrigée si nuit]],fin_nuit)-MAX(Horaires356715[[#This Row],[début]],deb_nuit))*24,(MAX(deb_nuit,Horaires356715[[#This Row],[Fin]])-MAX(deb_nuit,Horaires356715[[#This Row],[début]])+MAX(MIN(fin_nuit-1,Horaires356715[[#This Row],[Fin]])-MIN(fin_nuit-1,Horaires356715[[#This Row],[début]]),0))*24)</f>
        <v>0</v>
      </c>
      <c r="O14" s="35">
        <f>(MAX(0,MIN(Horaires356715[[#This Row],[Fin corrigée si nuit]],fin_nuit)-MAX(Horaires356715[[#This Row],[début]],deb_nuit))-IF(Horaires356715[[#This Row],[PNP Début]]=0,0,MIN(Horaires356715[[#This Row],[PNP Fin corrigée]],fin_nuit)-MAX(Horaires356715[[#This Row],[PNP Début corrigé]],deb_nuit)))*24</f>
        <v>0</v>
      </c>
      <c r="P14" s="35">
        <f>(IF(WEEKDAY(Horaires356715[[#This Row],[Date]],2)=7,MAX(0,MIN(fin_dimJF,Horaires356715[[#This Row],[Fin corrigée si nuit]])-MAX(deb_dimJF,Horaires356715[[#This Row],[début]])),0)+IF(WEEKDAY(Horaires356715[[#This Row],[Date]],2)=6,MAX(0,Horaires356715[[#This Row],[Fin corrigée si nuit]]-(1+deb_dimJF)),0))*24</f>
        <v>0</v>
      </c>
      <c r="Q14" s="35">
        <f>(IF(WEEKDAY(Horaires356715[[#This Row],[Date]],2)=7,MAX(0,MIN(fin_dimJF,Horaires356715[[#This Row],[Fin corrigée si nuit]])-MAX(deb_dimJF,Horaires356715[[#This Row],[début]])),0)+IF(WEEKDAY(Horaires356715[[#This Row],[Date]],2)=6,MAX(0,Horaires356715[[#This Row],[Fin corrigée si nuit]]-(1+deb_dimJF)),0))*24-
(IF(WEEKDAY(Horaires356715[[#This Row],[Date]],2)=7,MAX(0,MIN(fin_dimJF,Horaires356715[[#This Row],[PNP Fin corrigée]])-MAX(deb_dimJF,Horaires356715[[#This Row],[PNP Début corrigé]])),0)+IF(WEEKDAY(Horaires356715[[#This Row],[Date]],2)=6,MAX(0,Horaires356715[[#This Row],[PNP Fin corrigée]]-(1+deb_dimJF)),0))*24</f>
        <v>0</v>
      </c>
      <c r="R14" s="36">
        <f>(IF(COUNTIF(JF,Horaires356715[[#This Row],[Date]]),MAX(0,MIN(fin_dimJF,Horaires356715[[#This Row],[Fin corrigée si nuit]])-MAX(deb_dimJF,Horaires356715[[#This Row],[début]])),0)+IF(COUNTIF(JF,Horaires356715[[#This Row],[Date]]+1),MAX(0,Horaires356715[[#This Row],[Fin corrigée si nuit]]-(1+deb_dimJF)),0))*24</f>
        <v>0</v>
      </c>
      <c r="S14" s="36">
        <f>(IF(COUNTIF(JF,Horaires356715[[#This Row],[Date]]),MAX(0,MIN(fin_dimJF,Horaires356715[[#This Row],[Fin corrigée si nuit]])-MAX(deb_dimJF,Horaires356715[[#This Row],[début]])),0)+IF(COUNTIF(JF,Horaires356715[[#This Row],[Date]]+1),MAX(0,Horaires356715[[#This Row],[Fin corrigée si nuit]]-(1+deb_dimJF)),0))*24-
(IF(COUNTIF(JF,Horaires356715[[#This Row],[Date]]),MAX(0,MIN(fin_dimJF,Horaires356715[[#This Row],[PNP Fin corrigée]])-MAX(deb_dimJF,Horaires356715[[#This Row],[PNP Début corrigé]])),0)+IF(COUNTIF(JF,Horaires356715[[#This Row],[Date]]+1),MAX(0,Horaires356715[[#This Row],[PNP Fin corrigée]]-(1+deb_dimJF)),0))*24</f>
        <v>0</v>
      </c>
    </row>
    <row r="15" spans="1:19" x14ac:dyDescent="0.35">
      <c r="A15" s="5"/>
      <c r="B15" s="1"/>
      <c r="C15" s="2"/>
      <c r="D15" s="2"/>
      <c r="E15" s="3"/>
      <c r="F15" s="3"/>
      <c r="G15" s="3"/>
      <c r="H15" s="3"/>
      <c r="I15" s="32">
        <f>0.1*(Horaires356715[[#This Row],[Heures de nuit]]+Horaires356715[[#This Row],[heures jour dimanche]]+Horaires356715[[#This Row],[heures jour fériés]])</f>
        <v>0</v>
      </c>
      <c r="J15" s="33">
        <f>(MOD(Horaires356715[[#This Row],[Fin]]-Horaires356715[[#This Row],[début]],1)-MOD(Horaires356715[[#This Row],[PNP Fin]]-Horaires356715[[#This Row],[PNP Début]],1))*24</f>
        <v>0</v>
      </c>
      <c r="K15" s="34">
        <f>IF(Horaires356715[[#This Row],[PNP Début]]=0,0,IF(Horaires356715[[#This Row],[PNP Début]]&lt;Horaires356715[[#This Row],[début]],1,0)+Horaires356715[[#This Row],[PNP Début]])</f>
        <v>0</v>
      </c>
      <c r="L15" s="34">
        <f>IF(Horaires356715[[#This Row],[PNP Fin]]=0,0,IF(Horaires356715[[#This Row],[PNP Fin]]&lt;Horaires356715[[#This Row],[début]],1,0)+Horaires356715[[#This Row],[PNP Fin]])</f>
        <v>0</v>
      </c>
      <c r="M15" s="34">
        <f>IF(Horaires356715[[#This Row],[Fin]]&lt;Horaires356715[[#This Row],[début]],1,0)+Horaires356715[[#This Row],[Fin]]</f>
        <v>0</v>
      </c>
      <c r="N15" s="35">
        <f>IF(Horaires356715[[#This Row],[Fin]]&lt;Horaires356715[[#This Row],[début]],MAX(0,MIN(Horaires356715[[#This Row],[Fin corrigée si nuit]],fin_nuit)-MAX(Horaires356715[[#This Row],[début]],deb_nuit))*24,(MAX(deb_nuit,Horaires356715[[#This Row],[Fin]])-MAX(deb_nuit,Horaires356715[[#This Row],[début]])+MAX(MIN(fin_nuit-1,Horaires356715[[#This Row],[Fin]])-MIN(fin_nuit-1,Horaires356715[[#This Row],[début]]),0))*24)</f>
        <v>0</v>
      </c>
      <c r="O15" s="35">
        <f>(MAX(0,MIN(Horaires356715[[#This Row],[Fin corrigée si nuit]],fin_nuit)-MAX(Horaires356715[[#This Row],[début]],deb_nuit))-IF(Horaires356715[[#This Row],[PNP Début]]=0,0,MIN(Horaires356715[[#This Row],[PNP Fin corrigée]],fin_nuit)-MAX(Horaires356715[[#This Row],[PNP Début corrigé]],deb_nuit)))*24</f>
        <v>0</v>
      </c>
      <c r="P15" s="35">
        <f>(IF(WEEKDAY(Horaires356715[[#This Row],[Date]],2)=7,MAX(0,MIN(fin_dimJF,Horaires356715[[#This Row],[Fin corrigée si nuit]])-MAX(deb_dimJF,Horaires356715[[#This Row],[début]])),0)+IF(WEEKDAY(Horaires356715[[#This Row],[Date]],2)=6,MAX(0,Horaires356715[[#This Row],[Fin corrigée si nuit]]-(1+deb_dimJF)),0))*24</f>
        <v>0</v>
      </c>
      <c r="Q15" s="35">
        <f>(IF(WEEKDAY(Horaires356715[[#This Row],[Date]],2)=7,MAX(0,MIN(fin_dimJF,Horaires356715[[#This Row],[Fin corrigée si nuit]])-MAX(deb_dimJF,Horaires356715[[#This Row],[début]])),0)+IF(WEEKDAY(Horaires356715[[#This Row],[Date]],2)=6,MAX(0,Horaires356715[[#This Row],[Fin corrigée si nuit]]-(1+deb_dimJF)),0))*24-
(IF(WEEKDAY(Horaires356715[[#This Row],[Date]],2)=7,MAX(0,MIN(fin_dimJF,Horaires356715[[#This Row],[PNP Fin corrigée]])-MAX(deb_dimJF,Horaires356715[[#This Row],[PNP Début corrigé]])),0)+IF(WEEKDAY(Horaires356715[[#This Row],[Date]],2)=6,MAX(0,Horaires356715[[#This Row],[PNP Fin corrigée]]-(1+deb_dimJF)),0))*24</f>
        <v>0</v>
      </c>
      <c r="R15" s="36">
        <f>(IF(COUNTIF(JF,Horaires356715[[#This Row],[Date]]),MAX(0,MIN(fin_dimJF,Horaires356715[[#This Row],[Fin corrigée si nuit]])-MAX(deb_dimJF,Horaires356715[[#This Row],[début]])),0)+IF(COUNTIF(JF,Horaires356715[[#This Row],[Date]]+1),MAX(0,Horaires356715[[#This Row],[Fin corrigée si nuit]]-(1+deb_dimJF)),0))*24</f>
        <v>0</v>
      </c>
      <c r="S15" s="36">
        <f>(IF(COUNTIF(JF,Horaires356715[[#This Row],[Date]]),MAX(0,MIN(fin_dimJF,Horaires356715[[#This Row],[Fin corrigée si nuit]])-MAX(deb_dimJF,Horaires356715[[#This Row],[début]])),0)+IF(COUNTIF(JF,Horaires356715[[#This Row],[Date]]+1),MAX(0,Horaires356715[[#This Row],[Fin corrigée si nuit]]-(1+deb_dimJF)),0))*24-
(IF(COUNTIF(JF,Horaires356715[[#This Row],[Date]]),MAX(0,MIN(fin_dimJF,Horaires356715[[#This Row],[PNP Fin corrigée]])-MAX(deb_dimJF,Horaires356715[[#This Row],[PNP Début corrigé]])),0)+IF(COUNTIF(JF,Horaires356715[[#This Row],[Date]]+1),MAX(0,Horaires356715[[#This Row],[PNP Fin corrigée]]-(1+deb_dimJF)),0))*24</f>
        <v>0</v>
      </c>
    </row>
    <row r="16" spans="1:19" x14ac:dyDescent="0.35">
      <c r="A16" s="5"/>
      <c r="B16" s="6"/>
      <c r="C16" s="2"/>
      <c r="D16" s="2"/>
      <c r="E16" s="3"/>
      <c r="F16" s="3"/>
      <c r="G16" s="7"/>
      <c r="H16" s="7"/>
      <c r="I16" s="32">
        <f>0.1*(Horaires356715[[#This Row],[Heures de nuit]]+Horaires356715[[#This Row],[heures jour dimanche]]+Horaires356715[[#This Row],[heures jour fériés]])</f>
        <v>0</v>
      </c>
      <c r="J16" s="37">
        <f>(MOD(Horaires356715[[#This Row],[Fin]]-Horaires356715[[#This Row],[début]],1)-MOD(Horaires356715[[#This Row],[PNP Fin]]-Horaires356715[[#This Row],[PNP Début]],1))*24</f>
        <v>0</v>
      </c>
      <c r="K16" s="34">
        <f>IF(Horaires356715[[#This Row],[PNP Début]]=0,0,IF(Horaires356715[[#This Row],[PNP Début]]&lt;Horaires356715[[#This Row],[début]],1,0)+Horaires356715[[#This Row],[PNP Début]])</f>
        <v>0</v>
      </c>
      <c r="L16" s="34">
        <f>IF(Horaires356715[[#This Row],[PNP Fin]]=0,0,IF(Horaires356715[[#This Row],[PNP Fin]]&lt;Horaires356715[[#This Row],[début]],1,0)+Horaires356715[[#This Row],[PNP Fin]])</f>
        <v>0</v>
      </c>
      <c r="M16" s="38">
        <f>IF(Horaires356715[[#This Row],[Fin]]&lt;Horaires356715[[#This Row],[début]],1,0)+Horaires356715[[#This Row],[Fin]]</f>
        <v>0</v>
      </c>
      <c r="N16" s="35">
        <f>IF(Horaires356715[[#This Row],[Fin]]&lt;Horaires356715[[#This Row],[début]],MAX(0,MIN(Horaires356715[[#This Row],[Fin corrigée si nuit]],fin_nuit)-MAX(Horaires356715[[#This Row],[début]],deb_nuit))*24,(MAX(deb_nuit,Horaires356715[[#This Row],[Fin]])-MAX(deb_nuit,Horaires356715[[#This Row],[début]])+MAX(MIN(fin_nuit-1,Horaires356715[[#This Row],[Fin]])-MIN(fin_nuit-1,Horaires356715[[#This Row],[début]]),0))*24)</f>
        <v>0</v>
      </c>
      <c r="O16" s="39">
        <f>(MAX(0,MIN(Horaires356715[[#This Row],[Fin corrigée si nuit]],fin_nuit)-MAX(Horaires356715[[#This Row],[début]],deb_nuit))-IF(Horaires356715[[#This Row],[PNP Début]]=0,0,MIN(Horaires356715[[#This Row],[PNP Fin corrigée]],fin_nuit)-MAX(Horaires356715[[#This Row],[PNP Début corrigé]],deb_nuit)))*24</f>
        <v>0</v>
      </c>
      <c r="P16" s="39">
        <f>(IF(WEEKDAY(Horaires356715[[#This Row],[Date]],2)=7,MAX(0,MIN(fin_dimJF,Horaires356715[[#This Row],[Fin corrigée si nuit]])-MAX(deb_dimJF,Horaires356715[[#This Row],[début]])),0)+IF(WEEKDAY(Horaires356715[[#This Row],[Date]],2)=6,MAX(0,Horaires356715[[#This Row],[Fin corrigée si nuit]]-(1+deb_dimJF)),0))*24</f>
        <v>0</v>
      </c>
      <c r="Q16" s="35">
        <f>(IF(WEEKDAY(Horaires356715[[#This Row],[Date]],2)=7,MAX(0,MIN(fin_dimJF,Horaires356715[[#This Row],[Fin corrigée si nuit]])-MAX(deb_dimJF,Horaires356715[[#This Row],[début]])),0)+IF(WEEKDAY(Horaires356715[[#This Row],[Date]],2)=6,MAX(0,Horaires356715[[#This Row],[Fin corrigée si nuit]]-(1+deb_dimJF)),0))*24-
(IF(WEEKDAY(Horaires356715[[#This Row],[Date]],2)=7,MAX(0,MIN(fin_dimJF,Horaires356715[[#This Row],[PNP Fin corrigée]])-MAX(deb_dimJF,Horaires356715[[#This Row],[PNP Début corrigé]])),0)+IF(WEEKDAY(Horaires356715[[#This Row],[Date]],2)=6,MAX(0,Horaires356715[[#This Row],[PNP Fin corrigée]]-(1+deb_dimJF)),0))*24</f>
        <v>0</v>
      </c>
      <c r="R16" s="40">
        <f>(IF(COUNTIF(JF,Horaires356715[[#This Row],[Date]]),MAX(0,MIN(fin_dimJF,Horaires356715[[#This Row],[Fin corrigée si nuit]])-MAX(deb_dimJF,Horaires356715[[#This Row],[début]])),0)+IF(COUNTIF(JF,Horaires356715[[#This Row],[Date]]+1),MAX(0,Horaires356715[[#This Row],[Fin corrigée si nuit]]-(1+deb_dimJF)),0))*24</f>
        <v>0</v>
      </c>
      <c r="S16" s="40">
        <f>(IF(COUNTIF(JF,Horaires356715[[#This Row],[Date]]),MAX(0,MIN(fin_dimJF,Horaires356715[[#This Row],[Fin corrigée si nuit]])-MAX(deb_dimJF,Horaires356715[[#This Row],[début]])),0)+IF(COUNTIF(JF,Horaires356715[[#This Row],[Date]]+1),MAX(0,Horaires356715[[#This Row],[Fin corrigée si nuit]]-(1+deb_dimJF)),0))*24-
(IF(COUNTIF(JF,Horaires356715[[#This Row],[Date]]),MAX(0,MIN(fin_dimJF,Horaires356715[[#This Row],[PNP Fin corrigée]])-MAX(deb_dimJF,Horaires356715[[#This Row],[PNP Début corrigé]])),0)+IF(COUNTIF(JF,Horaires356715[[#This Row],[Date]]+1),MAX(0,Horaires356715[[#This Row],[PNP Fin corrigée]]-(1+deb_dimJF)),0))*24</f>
        <v>0</v>
      </c>
    </row>
    <row r="17" spans="1:19" x14ac:dyDescent="0.35">
      <c r="A17" s="5"/>
      <c r="B17" s="1"/>
      <c r="C17" s="2"/>
      <c r="D17" s="2"/>
      <c r="E17" s="3"/>
      <c r="F17" s="3"/>
      <c r="G17" s="12"/>
      <c r="H17" s="12"/>
      <c r="I17" s="41">
        <f>0.1*(Horaires356715[[#This Row],[Heures de nuit]]+Horaires356715[[#This Row],[heures jour dimanche]]+Horaires356715[[#This Row],[heures jour fériés]])</f>
        <v>0</v>
      </c>
      <c r="J17" s="42">
        <f>(MOD(Horaires356715[[#This Row],[Fin]]-Horaires356715[[#This Row],[début]],1)-MOD(Horaires356715[[#This Row],[PNP Fin]]-Horaires356715[[#This Row],[PNP Début]],1))*24</f>
        <v>0</v>
      </c>
      <c r="K17" s="43">
        <f>IF(Horaires356715[[#This Row],[PNP Début]]=0,0,IF(Horaires356715[[#This Row],[PNP Début]]&lt;Horaires356715[[#This Row],[début]],1,0)+Horaires356715[[#This Row],[PNP Début]])</f>
        <v>0</v>
      </c>
      <c r="L17" s="44">
        <f>IF(Horaires356715[[#This Row],[PNP Fin]]=0,0,IF(Horaires356715[[#This Row],[PNP Fin]]&lt;Horaires356715[[#This Row],[début]],1,0)+Horaires356715[[#This Row],[PNP Fin]])</f>
        <v>0</v>
      </c>
      <c r="M17" s="44">
        <f>IF(Horaires356715[[#This Row],[Fin]]&lt;Horaires356715[[#This Row],[début]],1,0)+Horaires356715[[#This Row],[Fin]]</f>
        <v>0</v>
      </c>
      <c r="N17" s="35">
        <f>IF(Horaires356715[[#This Row],[Fin]]&lt;Horaires356715[[#This Row],[début]],MAX(0,MIN(Horaires356715[[#This Row],[Fin corrigée si nuit]],fin_nuit)-MAX(Horaires356715[[#This Row],[début]],deb_nuit))*24,(MAX(deb_nuit,Horaires356715[[#This Row],[Fin]])-MAX(deb_nuit,Horaires356715[[#This Row],[début]])+MAX(MIN(fin_nuit-1,Horaires356715[[#This Row],[Fin]])-MIN(fin_nuit-1,Horaires356715[[#This Row],[début]]),0))*24)</f>
        <v>0</v>
      </c>
      <c r="O17" s="45">
        <f>(MAX(0,MIN(Horaires356715[[#This Row],[Fin corrigée si nuit]],fin_nuit)-MAX(Horaires356715[[#This Row],[début]],deb_nuit))-IF(Horaires356715[[#This Row],[PNP Début]]=0,0,MIN(Horaires356715[[#This Row],[PNP Fin corrigée]],fin_nuit)-MAX(Horaires356715[[#This Row],[PNP Début corrigé]],deb_nuit)))*24</f>
        <v>0</v>
      </c>
      <c r="P17" s="45">
        <f>(IF(WEEKDAY(Horaires356715[[#This Row],[Date]],2)=7,MAX(0,MIN(fin_dimJF,Horaires356715[[#This Row],[Fin corrigée si nuit]])-MAX(deb_dimJF,Horaires356715[[#This Row],[début]])),0)+IF(WEEKDAY(Horaires356715[[#This Row],[Date]],2)=6,MAX(0,Horaires356715[[#This Row],[Fin corrigée si nuit]]-(1+deb_dimJF)),0))*24</f>
        <v>0</v>
      </c>
      <c r="Q17" s="45">
        <f>(IF(WEEKDAY(Horaires356715[[#This Row],[Date]],2)=7,MAX(0,MIN(fin_dimJF,Horaires356715[[#This Row],[Fin corrigée si nuit]])-MAX(deb_dimJF,Horaires356715[[#This Row],[début]])),0)+IF(WEEKDAY(Horaires356715[[#This Row],[Date]],2)=6,MAX(0,Horaires356715[[#This Row],[Fin corrigée si nuit]]-(1+deb_dimJF)),0))*24-
(IF(WEEKDAY(Horaires356715[[#This Row],[Date]],2)=7,MAX(0,MIN(fin_dimJF,Horaires356715[[#This Row],[PNP Fin corrigée]])-MAX(deb_dimJF,Horaires356715[[#This Row],[PNP Début corrigé]])),0)+IF(WEEKDAY(Horaires356715[[#This Row],[Date]],2)=6,MAX(0,Horaires356715[[#This Row],[PNP Fin corrigée]]-(1+deb_dimJF)),0))*24</f>
        <v>0</v>
      </c>
      <c r="R17" s="45">
        <f>(IF(COUNTIF(JF,Horaires356715[[#This Row],[Date]]),MAX(0,MIN(fin_dimJF,Horaires356715[[#This Row],[Fin corrigée si nuit]])-MAX(deb_dimJF,Horaires356715[[#This Row],[début]])),0)+IF(COUNTIF(JF,Horaires356715[[#This Row],[Date]]+1),MAX(0,Horaires356715[[#This Row],[Fin corrigée si nuit]]-(1+deb_dimJF)),0))*24</f>
        <v>0</v>
      </c>
      <c r="S17" s="45">
        <f>(IF(COUNTIF(JF,Horaires356715[[#This Row],[Date]]),MAX(0,MIN(fin_dimJF,Horaires356715[[#This Row],[Fin corrigée si nuit]])-MAX(deb_dimJF,Horaires356715[[#This Row],[début]])),0)+IF(COUNTIF(JF,Horaires356715[[#This Row],[Date]]+1),MAX(0,Horaires356715[[#This Row],[Fin corrigée si nuit]]-(1+deb_dimJF)),0))*24-
(IF(COUNTIF(JF,Horaires356715[[#This Row],[Date]]),MAX(0,MIN(fin_dimJF,Horaires356715[[#This Row],[PNP Fin corrigée]])-MAX(deb_dimJF,Horaires356715[[#This Row],[PNP Début corrigé]])),0)+IF(COUNTIF(JF,Horaires356715[[#This Row],[Date]]+1),MAX(0,Horaires356715[[#This Row],[PNP Fin corrigée]]-(1+deb_dimJF)),0))*24</f>
        <v>0</v>
      </c>
    </row>
    <row r="18" spans="1:19" x14ac:dyDescent="0.35">
      <c r="A18" s="5"/>
      <c r="B18" s="60"/>
      <c r="C18" s="11"/>
      <c r="D18" s="11"/>
      <c r="E18" s="12"/>
      <c r="F18" s="12"/>
      <c r="G18" s="12"/>
      <c r="H18" s="12"/>
      <c r="I18" s="41">
        <f>0.1*(Horaires356715[[#This Row],[Heures de nuit]]+Horaires356715[[#This Row],[heures jour dimanche]]+Horaires356715[[#This Row],[heures jour fériés]])</f>
        <v>0</v>
      </c>
      <c r="J18" s="42">
        <f>(MOD(Horaires356715[[#This Row],[Fin]]-Horaires356715[[#This Row],[début]],1)-MOD(Horaires356715[[#This Row],[PNP Fin]]-Horaires356715[[#This Row],[PNP Début]],1))*24</f>
        <v>0</v>
      </c>
      <c r="K18" s="43">
        <f>IF(Horaires356715[[#This Row],[PNP Début]]=0,0,IF(Horaires356715[[#This Row],[PNP Début]]&lt;Horaires356715[[#This Row],[début]],1,0)+Horaires356715[[#This Row],[PNP Début]])</f>
        <v>0</v>
      </c>
      <c r="L18" s="44">
        <f>IF(Horaires356715[[#This Row],[PNP Fin]]=0,0,IF(Horaires356715[[#This Row],[PNP Fin]]&lt;Horaires356715[[#This Row],[début]],1,0)+Horaires356715[[#This Row],[PNP Fin]])</f>
        <v>0</v>
      </c>
      <c r="M18" s="44">
        <f>IF(Horaires356715[[#This Row],[Fin]]&lt;Horaires356715[[#This Row],[début]],1,0)+Horaires356715[[#This Row],[Fin]]</f>
        <v>0</v>
      </c>
      <c r="N18" s="35">
        <f>IF(Horaires356715[[#This Row],[Fin]]&lt;Horaires356715[[#This Row],[début]],MAX(0,MIN(Horaires356715[[#This Row],[Fin corrigée si nuit]],fin_nuit)-MAX(Horaires356715[[#This Row],[début]],deb_nuit))*24,(MAX(deb_nuit,Horaires356715[[#This Row],[Fin]])-MAX(deb_nuit,Horaires356715[[#This Row],[début]])+MAX(MIN(fin_nuit-1,Horaires356715[[#This Row],[Fin]])-MIN(fin_nuit-1,Horaires356715[[#This Row],[début]]),0))*24)</f>
        <v>0</v>
      </c>
      <c r="O18" s="45">
        <f>(MAX(0,MIN(Horaires356715[[#This Row],[Fin corrigée si nuit]],fin_nuit)-MAX(Horaires356715[[#This Row],[début]],deb_nuit))-IF(Horaires356715[[#This Row],[PNP Début]]=0,0,MIN(Horaires356715[[#This Row],[PNP Fin corrigée]],fin_nuit)-MAX(Horaires356715[[#This Row],[PNP Début corrigé]],deb_nuit)))*24</f>
        <v>0</v>
      </c>
      <c r="P18" s="45">
        <f>(IF(WEEKDAY(Horaires356715[[#This Row],[Date]],2)=7,MAX(0,MIN(fin_dimJF,Horaires356715[[#This Row],[Fin corrigée si nuit]])-MAX(deb_dimJF,Horaires356715[[#This Row],[début]])),0)+IF(WEEKDAY(Horaires356715[[#This Row],[Date]],2)=6,MAX(0,Horaires356715[[#This Row],[Fin corrigée si nuit]]-(1+deb_dimJF)),0))*24</f>
        <v>0</v>
      </c>
      <c r="Q18" s="45">
        <f>(IF(WEEKDAY(Horaires356715[[#This Row],[Date]],2)=7,MAX(0,MIN(fin_dimJF,Horaires356715[[#This Row],[Fin corrigée si nuit]])-MAX(deb_dimJF,Horaires356715[[#This Row],[début]])),0)+IF(WEEKDAY(Horaires356715[[#This Row],[Date]],2)=6,MAX(0,Horaires356715[[#This Row],[Fin corrigée si nuit]]-(1+deb_dimJF)),0))*24-
(IF(WEEKDAY(Horaires356715[[#This Row],[Date]],2)=7,MAX(0,MIN(fin_dimJF,Horaires356715[[#This Row],[PNP Fin corrigée]])-MAX(deb_dimJF,Horaires356715[[#This Row],[PNP Début corrigé]])),0)+IF(WEEKDAY(Horaires356715[[#This Row],[Date]],2)=6,MAX(0,Horaires356715[[#This Row],[PNP Fin corrigée]]-(1+deb_dimJF)),0))*24</f>
        <v>0</v>
      </c>
      <c r="R18" s="45">
        <f>(IF(COUNTIF(JF,Horaires356715[[#This Row],[Date]]),MAX(0,MIN(fin_dimJF,Horaires356715[[#This Row],[Fin corrigée si nuit]])-MAX(deb_dimJF,Horaires356715[[#This Row],[début]])),0)+IF(COUNTIF(JF,Horaires356715[[#This Row],[Date]]+1),MAX(0,Horaires356715[[#This Row],[Fin corrigée si nuit]]-(1+deb_dimJF)),0))*24</f>
        <v>0</v>
      </c>
      <c r="S18" s="45">
        <f>(IF(COUNTIF(JF,Horaires356715[[#This Row],[Date]]),MAX(0,MIN(fin_dimJF,Horaires356715[[#This Row],[Fin corrigée si nuit]])-MAX(deb_dimJF,Horaires356715[[#This Row],[début]])),0)+IF(COUNTIF(JF,Horaires356715[[#This Row],[Date]]+1),MAX(0,Horaires356715[[#This Row],[Fin corrigée si nuit]]-(1+deb_dimJF)),0))*24-
(IF(COUNTIF(JF,Horaires356715[[#This Row],[Date]]),MAX(0,MIN(fin_dimJF,Horaires356715[[#This Row],[PNP Fin corrigée]])-MAX(deb_dimJF,Horaires356715[[#This Row],[PNP Début corrigé]])),0)+IF(COUNTIF(JF,Horaires356715[[#This Row],[Date]]+1),MAX(0,Horaires356715[[#This Row],[PNP Fin corrigée]]-(1+deb_dimJF)),0))*24</f>
        <v>0</v>
      </c>
    </row>
    <row r="19" spans="1:19" x14ac:dyDescent="0.35">
      <c r="A19" s="5"/>
      <c r="B19" s="1"/>
      <c r="C19" s="11"/>
      <c r="D19" s="11"/>
      <c r="E19" s="3"/>
      <c r="F19" s="3"/>
      <c r="G19" s="12"/>
      <c r="H19" s="12"/>
      <c r="I19" s="41">
        <f>0.1*(Horaires356715[[#This Row],[Heures de nuit]]+Horaires356715[[#This Row],[heures jour dimanche]]+Horaires356715[[#This Row],[heures jour fériés]])</f>
        <v>0</v>
      </c>
      <c r="J19" s="42">
        <f>(MOD(Horaires356715[[#This Row],[Fin]]-Horaires356715[[#This Row],[début]],1)-MOD(Horaires356715[[#This Row],[PNP Fin]]-Horaires356715[[#This Row],[PNP Début]],1))*24</f>
        <v>0</v>
      </c>
      <c r="K19" s="43">
        <f>IF(Horaires356715[[#This Row],[PNP Début]]=0,0,IF(Horaires356715[[#This Row],[PNP Début]]&lt;Horaires356715[[#This Row],[début]],1,0)+Horaires356715[[#This Row],[PNP Début]])</f>
        <v>0</v>
      </c>
      <c r="L19" s="44">
        <f>IF(Horaires356715[[#This Row],[PNP Fin]]=0,0,IF(Horaires356715[[#This Row],[PNP Fin]]&lt;Horaires356715[[#This Row],[début]],1,0)+Horaires356715[[#This Row],[PNP Fin]])</f>
        <v>0</v>
      </c>
      <c r="M19" s="44">
        <f>IF(Horaires356715[[#This Row],[Fin]]&lt;Horaires356715[[#This Row],[début]],1,0)+Horaires356715[[#This Row],[Fin]]</f>
        <v>0</v>
      </c>
      <c r="N19" s="35">
        <f>IF(Horaires356715[[#This Row],[Fin]]&lt;Horaires356715[[#This Row],[début]],MAX(0,MIN(Horaires356715[[#This Row],[Fin corrigée si nuit]],fin_nuit)-MAX(Horaires356715[[#This Row],[début]],deb_nuit))*24,(MAX(deb_nuit,Horaires356715[[#This Row],[Fin]])-MAX(deb_nuit,Horaires356715[[#This Row],[début]])+MAX(MIN(fin_nuit-1,Horaires356715[[#This Row],[Fin]])-MIN(fin_nuit-1,Horaires356715[[#This Row],[début]]),0))*24)</f>
        <v>0</v>
      </c>
      <c r="O19" s="45">
        <f>(MAX(0,MIN(Horaires356715[[#This Row],[Fin corrigée si nuit]],fin_nuit)-MAX(Horaires356715[[#This Row],[début]],deb_nuit))-IF(Horaires356715[[#This Row],[PNP Début]]=0,0,MIN(Horaires356715[[#This Row],[PNP Fin corrigée]],fin_nuit)-MAX(Horaires356715[[#This Row],[PNP Début corrigé]],deb_nuit)))*24</f>
        <v>0</v>
      </c>
      <c r="P19" s="45">
        <f>(IF(WEEKDAY(Horaires356715[[#This Row],[Date]],2)=7,MAX(0,MIN(fin_dimJF,Horaires356715[[#This Row],[Fin corrigée si nuit]])-MAX(deb_dimJF,Horaires356715[[#This Row],[début]])),0)+IF(WEEKDAY(Horaires356715[[#This Row],[Date]],2)=6,MAX(0,Horaires356715[[#This Row],[Fin corrigée si nuit]]-(1+deb_dimJF)),0))*24</f>
        <v>0</v>
      </c>
      <c r="Q19" s="45">
        <f>(IF(WEEKDAY(Horaires356715[[#This Row],[Date]],2)=7,MAX(0,MIN(fin_dimJF,Horaires356715[[#This Row],[Fin corrigée si nuit]])-MAX(deb_dimJF,Horaires356715[[#This Row],[début]])),0)+IF(WEEKDAY(Horaires356715[[#This Row],[Date]],2)=6,MAX(0,Horaires356715[[#This Row],[Fin corrigée si nuit]]-(1+deb_dimJF)),0))*24-
(IF(WEEKDAY(Horaires356715[[#This Row],[Date]],2)=7,MAX(0,MIN(fin_dimJF,Horaires356715[[#This Row],[PNP Fin corrigée]])-MAX(deb_dimJF,Horaires356715[[#This Row],[PNP Début corrigé]])),0)+IF(WEEKDAY(Horaires356715[[#This Row],[Date]],2)=6,MAX(0,Horaires356715[[#This Row],[PNP Fin corrigée]]-(1+deb_dimJF)),0))*24</f>
        <v>0</v>
      </c>
      <c r="R19" s="45">
        <f>(IF(COUNTIF(JF,Horaires356715[[#This Row],[Date]]),MAX(0,MIN(fin_dimJF,Horaires356715[[#This Row],[Fin corrigée si nuit]])-MAX(deb_dimJF,Horaires356715[[#This Row],[début]])),0)+IF(COUNTIF(JF,Horaires356715[[#This Row],[Date]]+1),MAX(0,Horaires356715[[#This Row],[Fin corrigée si nuit]]-(1+deb_dimJF)),0))*24</f>
        <v>0</v>
      </c>
      <c r="S19" s="45">
        <f>(IF(COUNTIF(JF,Horaires356715[[#This Row],[Date]]),MAX(0,MIN(fin_dimJF,Horaires356715[[#This Row],[Fin corrigée si nuit]])-MAX(deb_dimJF,Horaires356715[[#This Row],[début]])),0)+IF(COUNTIF(JF,Horaires356715[[#This Row],[Date]]+1),MAX(0,Horaires356715[[#This Row],[Fin corrigée si nuit]]-(1+deb_dimJF)),0))*24-
(IF(COUNTIF(JF,Horaires356715[[#This Row],[Date]]),MAX(0,MIN(fin_dimJF,Horaires356715[[#This Row],[PNP Fin corrigée]])-MAX(deb_dimJF,Horaires356715[[#This Row],[PNP Début corrigé]])),0)+IF(COUNTIF(JF,Horaires356715[[#This Row],[Date]]+1),MAX(0,Horaires356715[[#This Row],[PNP Fin corrigée]]-(1+deb_dimJF)),0))*24</f>
        <v>0</v>
      </c>
    </row>
    <row r="20" spans="1:19" x14ac:dyDescent="0.35">
      <c r="A20" s="5"/>
      <c r="B20" s="1"/>
      <c r="C20" s="11"/>
      <c r="D20" s="11"/>
      <c r="E20" s="12"/>
      <c r="F20" s="12"/>
      <c r="G20" s="12"/>
      <c r="H20" s="12"/>
      <c r="I20" s="41">
        <f>0.1*(Horaires356715[[#This Row],[Heures de nuit]]+Horaires356715[[#This Row],[heures jour dimanche]]+Horaires356715[[#This Row],[heures jour fériés]])</f>
        <v>0</v>
      </c>
      <c r="J20" s="42">
        <f>(MOD(Horaires356715[[#This Row],[Fin]]-Horaires356715[[#This Row],[début]],1)-MOD(Horaires356715[[#This Row],[PNP Fin]]-Horaires356715[[#This Row],[PNP Début]],1))*24</f>
        <v>0</v>
      </c>
      <c r="K20" s="43">
        <f>IF(Horaires356715[[#This Row],[PNP Début]]=0,0,IF(Horaires356715[[#This Row],[PNP Début]]&lt;Horaires356715[[#This Row],[début]],1,0)+Horaires356715[[#This Row],[PNP Début]])</f>
        <v>0</v>
      </c>
      <c r="L20" s="44">
        <f>IF(Horaires356715[[#This Row],[PNP Fin]]=0,0,IF(Horaires356715[[#This Row],[PNP Fin]]&lt;Horaires356715[[#This Row],[début]],1,0)+Horaires356715[[#This Row],[PNP Fin]])</f>
        <v>0</v>
      </c>
      <c r="M20" s="44">
        <f>IF(Horaires356715[[#This Row],[Fin]]&lt;Horaires356715[[#This Row],[début]],1,0)+Horaires356715[[#This Row],[Fin]]</f>
        <v>0</v>
      </c>
      <c r="N20" s="35">
        <f>IF(Horaires356715[[#This Row],[Fin]]&lt;Horaires356715[[#This Row],[début]],MAX(0,MIN(Horaires356715[[#This Row],[Fin corrigée si nuit]],fin_nuit)-MAX(Horaires356715[[#This Row],[début]],deb_nuit))*24,(MAX(deb_nuit,Horaires356715[[#This Row],[Fin]])-MAX(deb_nuit,Horaires356715[[#This Row],[début]])+MAX(MIN(fin_nuit-1,Horaires356715[[#This Row],[Fin]])-MIN(fin_nuit-1,Horaires356715[[#This Row],[début]]),0))*24)</f>
        <v>0</v>
      </c>
      <c r="O20" s="45">
        <f>(MAX(0,MIN(Horaires356715[[#This Row],[Fin corrigée si nuit]],fin_nuit)-MAX(Horaires356715[[#This Row],[début]],deb_nuit))-IF(Horaires356715[[#This Row],[PNP Début]]=0,0,MIN(Horaires356715[[#This Row],[PNP Fin corrigée]],fin_nuit)-MAX(Horaires356715[[#This Row],[PNP Début corrigé]],deb_nuit)))*24</f>
        <v>0</v>
      </c>
      <c r="P20" s="45">
        <f>(IF(WEEKDAY(Horaires356715[[#This Row],[Date]],2)=7,MAX(0,MIN(fin_dimJF,Horaires356715[[#This Row],[Fin corrigée si nuit]])-MAX(deb_dimJF,Horaires356715[[#This Row],[début]])),0)+IF(WEEKDAY(Horaires356715[[#This Row],[Date]],2)=6,MAX(0,Horaires356715[[#This Row],[Fin corrigée si nuit]]-(1+deb_dimJF)),0))*24</f>
        <v>0</v>
      </c>
      <c r="Q20" s="45">
        <f>(IF(WEEKDAY(Horaires356715[[#This Row],[Date]],2)=7,MAX(0,MIN(fin_dimJF,Horaires356715[[#This Row],[Fin corrigée si nuit]])-MAX(deb_dimJF,Horaires356715[[#This Row],[début]])),0)+IF(WEEKDAY(Horaires356715[[#This Row],[Date]],2)=6,MAX(0,Horaires356715[[#This Row],[Fin corrigée si nuit]]-(1+deb_dimJF)),0))*24-
(IF(WEEKDAY(Horaires356715[[#This Row],[Date]],2)=7,MAX(0,MIN(fin_dimJF,Horaires356715[[#This Row],[PNP Fin corrigée]])-MAX(deb_dimJF,Horaires356715[[#This Row],[PNP Début corrigé]])),0)+IF(WEEKDAY(Horaires356715[[#This Row],[Date]],2)=6,MAX(0,Horaires356715[[#This Row],[PNP Fin corrigée]]-(1+deb_dimJF)),0))*24</f>
        <v>0</v>
      </c>
      <c r="R20" s="45">
        <f>(IF(COUNTIF(JF,Horaires356715[[#This Row],[Date]]),MAX(0,MIN(fin_dimJF,Horaires356715[[#This Row],[Fin corrigée si nuit]])-MAX(deb_dimJF,Horaires356715[[#This Row],[début]])),0)+IF(COUNTIF(JF,Horaires356715[[#This Row],[Date]]+1),MAX(0,Horaires356715[[#This Row],[Fin corrigée si nuit]]-(1+deb_dimJF)),0))*24</f>
        <v>0</v>
      </c>
      <c r="S20" s="45">
        <f>(IF(COUNTIF(JF,Horaires356715[[#This Row],[Date]]),MAX(0,MIN(fin_dimJF,Horaires356715[[#This Row],[Fin corrigée si nuit]])-MAX(deb_dimJF,Horaires356715[[#This Row],[début]])),0)+IF(COUNTIF(JF,Horaires356715[[#This Row],[Date]]+1),MAX(0,Horaires356715[[#This Row],[Fin corrigée si nuit]]-(1+deb_dimJF)),0))*24-
(IF(COUNTIF(JF,Horaires356715[[#This Row],[Date]]),MAX(0,MIN(fin_dimJF,Horaires356715[[#This Row],[PNP Fin corrigée]])-MAX(deb_dimJF,Horaires356715[[#This Row],[PNP Début corrigé]])),0)+IF(COUNTIF(JF,Horaires356715[[#This Row],[Date]]+1),MAX(0,Horaires356715[[#This Row],[PNP Fin corrigée]]-(1+deb_dimJF)),0))*24</f>
        <v>0</v>
      </c>
    </row>
    <row r="21" spans="1:19" x14ac:dyDescent="0.35">
      <c r="A21" s="5"/>
      <c r="B21" s="6"/>
      <c r="C21" s="13"/>
      <c r="D21" s="13"/>
      <c r="E21" s="3"/>
      <c r="F21" s="3"/>
      <c r="G21" s="14"/>
      <c r="H21" s="14"/>
      <c r="I21" s="46">
        <f>0.1*(Horaires356715[[#This Row],[Heures de nuit]]+Horaires356715[[#This Row],[heures jour dimanche]]+Horaires356715[[#This Row],[heures jour fériés]])</f>
        <v>0</v>
      </c>
      <c r="J21" s="47">
        <f>(MOD(Horaires356715[[#This Row],[Fin]]-Horaires356715[[#This Row],[début]],1)-MOD(Horaires356715[[#This Row],[PNP Fin]]-Horaires356715[[#This Row],[PNP Début]],1))*24</f>
        <v>0</v>
      </c>
      <c r="K21" s="48">
        <f>IF(Horaires356715[[#This Row],[PNP Début]]=0,0,IF(Horaires356715[[#This Row],[PNP Début]]&lt;Horaires356715[[#This Row],[début]],1,0)+Horaires356715[[#This Row],[PNP Début]])</f>
        <v>0</v>
      </c>
      <c r="L21" s="49">
        <f>IF(Horaires356715[[#This Row],[PNP Fin]]=0,0,IF(Horaires356715[[#This Row],[PNP Fin]]&lt;Horaires356715[[#This Row],[début]],1,0)+Horaires356715[[#This Row],[PNP Fin]])</f>
        <v>0</v>
      </c>
      <c r="M21" s="49">
        <f>IF(Horaires356715[[#This Row],[Fin]]&lt;Horaires356715[[#This Row],[début]],1,0)+Horaires356715[[#This Row],[Fin]]</f>
        <v>0</v>
      </c>
      <c r="N21" s="35">
        <f>IF(Horaires356715[[#This Row],[Fin]]&lt;Horaires356715[[#This Row],[début]],MAX(0,MIN(Horaires356715[[#This Row],[Fin corrigée si nuit]],fin_nuit)-MAX(Horaires356715[[#This Row],[début]],deb_nuit))*24,(MAX(deb_nuit,Horaires356715[[#This Row],[Fin]])-MAX(deb_nuit,Horaires356715[[#This Row],[début]])+MAX(MIN(fin_nuit-1,Horaires356715[[#This Row],[Fin]])-MIN(fin_nuit-1,Horaires356715[[#This Row],[début]]),0))*24)</f>
        <v>0</v>
      </c>
      <c r="O21" s="50">
        <f>(MAX(0,MIN(Horaires356715[[#This Row],[Fin corrigée si nuit]],fin_nuit)-MAX(Horaires356715[[#This Row],[début]],deb_nuit))-IF(Horaires356715[[#This Row],[PNP Début]]=0,0,MIN(Horaires356715[[#This Row],[PNP Fin corrigée]],fin_nuit)-MAX(Horaires356715[[#This Row],[PNP Début corrigé]],deb_nuit)))*24</f>
        <v>0</v>
      </c>
      <c r="P21" s="50">
        <f>(IF(WEEKDAY(Horaires356715[[#This Row],[Date]],2)=7,MAX(0,MIN(fin_dimJF,Horaires356715[[#This Row],[Fin corrigée si nuit]])-MAX(deb_dimJF,Horaires356715[[#This Row],[début]])),0)+IF(WEEKDAY(Horaires356715[[#This Row],[Date]],2)=6,MAX(0,Horaires356715[[#This Row],[Fin corrigée si nuit]]-(1+deb_dimJF)),0))*24</f>
        <v>0</v>
      </c>
      <c r="Q21" s="50">
        <f>(IF(WEEKDAY(Horaires356715[[#This Row],[Date]],2)=7,MAX(0,MIN(fin_dimJF,Horaires356715[[#This Row],[Fin corrigée si nuit]])-MAX(deb_dimJF,Horaires356715[[#This Row],[début]])),0)+IF(WEEKDAY(Horaires356715[[#This Row],[Date]],2)=6,MAX(0,Horaires356715[[#This Row],[Fin corrigée si nuit]]-(1+deb_dimJF)),0))*24-
(IF(WEEKDAY(Horaires356715[[#This Row],[Date]],2)=7,MAX(0,MIN(fin_dimJF,Horaires356715[[#This Row],[PNP Fin corrigée]])-MAX(deb_dimJF,Horaires356715[[#This Row],[PNP Début corrigé]])),0)+IF(WEEKDAY(Horaires356715[[#This Row],[Date]],2)=6,MAX(0,Horaires356715[[#This Row],[PNP Fin corrigée]]-(1+deb_dimJF)),0))*24</f>
        <v>0</v>
      </c>
      <c r="R21" s="50">
        <f>(IF(COUNTIF(JF,Horaires356715[[#This Row],[Date]]),MAX(0,MIN(fin_dimJF,Horaires356715[[#This Row],[Fin corrigée si nuit]])-MAX(deb_dimJF,Horaires356715[[#This Row],[début]])),0)+IF(COUNTIF(JF,Horaires356715[[#This Row],[Date]]+1),MAX(0,Horaires356715[[#This Row],[Fin corrigée si nuit]]-(1+deb_dimJF)),0))*24</f>
        <v>0</v>
      </c>
      <c r="S21" s="50">
        <f>(IF(COUNTIF(JF,Horaires356715[[#This Row],[Date]]),MAX(0,MIN(fin_dimJF,Horaires356715[[#This Row],[Fin corrigée si nuit]])-MAX(deb_dimJF,Horaires356715[[#This Row],[début]])),0)+IF(COUNTIF(JF,Horaires356715[[#This Row],[Date]]+1),MAX(0,Horaires356715[[#This Row],[Fin corrigée si nuit]]-(1+deb_dimJF)),0))*24-
(IF(COUNTIF(JF,Horaires356715[[#This Row],[Date]]),MAX(0,MIN(fin_dimJF,Horaires356715[[#This Row],[PNP Fin corrigée]])-MAX(deb_dimJF,Horaires356715[[#This Row],[PNP Début corrigé]])),0)+IF(COUNTIF(JF,Horaires356715[[#This Row],[Date]]+1),MAX(0,Horaires356715[[#This Row],[PNP Fin corrigée]]-(1+deb_dimJF)),0))*24</f>
        <v>0</v>
      </c>
    </row>
    <row r="22" spans="1:19" x14ac:dyDescent="0.35">
      <c r="A22" s="5"/>
      <c r="B22" s="1"/>
      <c r="C22" s="13"/>
      <c r="D22" s="13"/>
      <c r="E22" s="3"/>
      <c r="F22" s="3"/>
      <c r="G22" s="3"/>
      <c r="H22" s="3"/>
      <c r="I22" s="51">
        <f>0.1*(Horaires356715[[#This Row],[Heures de nuit]]+Horaires356715[[#This Row],[heures jour dimanche]]+Horaires356715[[#This Row],[heures jour fériés]])</f>
        <v>0</v>
      </c>
      <c r="J22" s="52">
        <f>(MOD(Horaires356715[[#This Row],[Fin]]-Horaires356715[[#This Row],[début]],1)-MOD(Horaires356715[[#This Row],[PNP Fin]]-Horaires356715[[#This Row],[PNP Début]],1))*24</f>
        <v>0</v>
      </c>
      <c r="K22" s="53">
        <f>IF(Horaires356715[[#This Row],[PNP Début]]=0,0,IF(Horaires356715[[#This Row],[PNP Début]]&lt;Horaires356715[[#This Row],[début]],1,0)+Horaires356715[[#This Row],[PNP Début]])</f>
        <v>0</v>
      </c>
      <c r="L22" s="54">
        <f>IF(Horaires356715[[#This Row],[PNP Fin]]=0,0,IF(Horaires356715[[#This Row],[PNP Fin]]&lt;Horaires356715[[#This Row],[début]],1,0)+Horaires356715[[#This Row],[PNP Fin]])</f>
        <v>0</v>
      </c>
      <c r="M22" s="54">
        <f>IF(Horaires356715[[#This Row],[Fin]]&lt;Horaires356715[[#This Row],[début]],1,0)+Horaires356715[[#This Row],[Fin]]</f>
        <v>0</v>
      </c>
      <c r="N22" s="35">
        <f>IF(Horaires356715[[#This Row],[Fin]]&lt;Horaires356715[[#This Row],[début]],MAX(0,MIN(Horaires356715[[#This Row],[Fin corrigée si nuit]],fin_nuit)-MAX(Horaires356715[[#This Row],[début]],deb_nuit))*24,(MAX(deb_nuit,Horaires356715[[#This Row],[Fin]])-MAX(deb_nuit,Horaires356715[[#This Row],[début]])+MAX(MIN(fin_nuit-1,Horaires356715[[#This Row],[Fin]])-MIN(fin_nuit-1,Horaires356715[[#This Row],[début]]),0))*24)</f>
        <v>0</v>
      </c>
      <c r="O22" s="55">
        <f>(MAX(0,MIN(Horaires356715[[#This Row],[Fin corrigée si nuit]],fin_nuit)-MAX(Horaires356715[[#This Row],[début]],deb_nuit))-IF(Horaires356715[[#This Row],[PNP Début]]=0,0,MIN(Horaires356715[[#This Row],[PNP Fin corrigée]],fin_nuit)-MAX(Horaires356715[[#This Row],[PNP Début corrigé]],deb_nuit)))*24</f>
        <v>0</v>
      </c>
      <c r="P22" s="55">
        <f>(IF(WEEKDAY(Horaires356715[[#This Row],[Date]],2)=7,MAX(0,MIN(fin_dimJF,Horaires356715[[#This Row],[Fin corrigée si nuit]])-MAX(deb_dimJF,Horaires356715[[#This Row],[début]])),0)+IF(WEEKDAY(Horaires356715[[#This Row],[Date]],2)=6,MAX(0,Horaires356715[[#This Row],[Fin corrigée si nuit]]-(1+deb_dimJF)),0))*24</f>
        <v>0</v>
      </c>
      <c r="Q22" s="55">
        <f>(IF(WEEKDAY(Horaires356715[[#This Row],[Date]],2)=7,MAX(0,MIN(fin_dimJF,Horaires356715[[#This Row],[Fin corrigée si nuit]])-MAX(deb_dimJF,Horaires356715[[#This Row],[début]])),0)+IF(WEEKDAY(Horaires356715[[#This Row],[Date]],2)=6,MAX(0,Horaires356715[[#This Row],[Fin corrigée si nuit]]-(1+deb_dimJF)),0))*24-
(IF(WEEKDAY(Horaires356715[[#This Row],[Date]],2)=7,MAX(0,MIN(fin_dimJF,Horaires356715[[#This Row],[PNP Fin corrigée]])-MAX(deb_dimJF,Horaires356715[[#This Row],[PNP Début corrigé]])),0)+IF(WEEKDAY(Horaires356715[[#This Row],[Date]],2)=6,MAX(0,Horaires356715[[#This Row],[PNP Fin corrigée]]-(1+deb_dimJF)),0))*24</f>
        <v>0</v>
      </c>
      <c r="R22" s="55">
        <f>(IF(COUNTIF(JF,Horaires356715[[#This Row],[Date]]),MAX(0,MIN(fin_dimJF,Horaires356715[[#This Row],[Fin corrigée si nuit]])-MAX(deb_dimJF,Horaires356715[[#This Row],[début]])),0)+IF(COUNTIF(JF,Horaires356715[[#This Row],[Date]]+1),MAX(0,Horaires356715[[#This Row],[Fin corrigée si nuit]]-(1+deb_dimJF)),0))*24</f>
        <v>0</v>
      </c>
      <c r="S22" s="55">
        <f>(IF(COUNTIF(JF,Horaires356715[[#This Row],[Date]]),MAX(0,MIN(fin_dimJF,Horaires356715[[#This Row],[Fin corrigée si nuit]])-MAX(deb_dimJF,Horaires356715[[#This Row],[début]])),0)+IF(COUNTIF(JF,Horaires356715[[#This Row],[Date]]+1),MAX(0,Horaires356715[[#This Row],[Fin corrigée si nuit]]-(1+deb_dimJF)),0))*24-
(IF(COUNTIF(JF,Horaires356715[[#This Row],[Date]]),MAX(0,MIN(fin_dimJF,Horaires356715[[#This Row],[PNP Fin corrigée]])-MAX(deb_dimJF,Horaires356715[[#This Row],[PNP Début corrigé]])),0)+IF(COUNTIF(JF,Horaires356715[[#This Row],[Date]]+1),MAX(0,Horaires356715[[#This Row],[PNP Fin corrigée]]-(1+deb_dimJF)),0))*24</f>
        <v>0</v>
      </c>
    </row>
    <row r="23" spans="1:19" x14ac:dyDescent="0.35">
      <c r="A23" s="5"/>
      <c r="B23" s="1"/>
      <c r="C23" s="13"/>
      <c r="D23" s="13"/>
      <c r="E23" s="3"/>
      <c r="F23" s="3"/>
      <c r="G23" s="3"/>
      <c r="H23" s="3"/>
      <c r="I23" s="51">
        <f>0.1*(Horaires356715[[#This Row],[Heures de nuit]]+Horaires356715[[#This Row],[heures jour dimanche]]+Horaires356715[[#This Row],[heures jour fériés]])</f>
        <v>0</v>
      </c>
      <c r="J23" s="52">
        <f>(MOD(Horaires356715[[#This Row],[Fin]]-Horaires356715[[#This Row],[début]],1)-MOD(Horaires356715[[#This Row],[PNP Fin]]-Horaires356715[[#This Row],[PNP Début]],1))*24</f>
        <v>0</v>
      </c>
      <c r="K23" s="53">
        <f>IF(Horaires356715[[#This Row],[PNP Début]]=0,0,IF(Horaires356715[[#This Row],[PNP Début]]&lt;Horaires356715[[#This Row],[début]],1,0)+Horaires356715[[#This Row],[PNP Début]])</f>
        <v>0</v>
      </c>
      <c r="L23" s="54">
        <f>IF(Horaires356715[[#This Row],[PNP Fin]]=0,0,IF(Horaires356715[[#This Row],[PNP Fin]]&lt;Horaires356715[[#This Row],[début]],1,0)+Horaires356715[[#This Row],[PNP Fin]])</f>
        <v>0</v>
      </c>
      <c r="M23" s="54">
        <f>IF(Horaires356715[[#This Row],[Fin]]&lt;Horaires356715[[#This Row],[début]],1,0)+Horaires356715[[#This Row],[Fin]]</f>
        <v>0</v>
      </c>
      <c r="N23" s="35">
        <f>IF(Horaires356715[[#This Row],[Fin]]&lt;Horaires356715[[#This Row],[début]],MAX(0,MIN(Horaires356715[[#This Row],[Fin corrigée si nuit]],fin_nuit)-MAX(Horaires356715[[#This Row],[début]],deb_nuit))*24,(MAX(deb_nuit,Horaires356715[[#This Row],[Fin]])-MAX(deb_nuit,Horaires356715[[#This Row],[début]])+MAX(MIN(fin_nuit-1,Horaires356715[[#This Row],[Fin]])-MIN(fin_nuit-1,Horaires356715[[#This Row],[début]]),0))*24)</f>
        <v>0</v>
      </c>
      <c r="O23" s="55">
        <f>(MAX(0,MIN(Horaires356715[[#This Row],[Fin corrigée si nuit]],fin_nuit)-MAX(Horaires356715[[#This Row],[début]],deb_nuit))-IF(Horaires356715[[#This Row],[PNP Début]]=0,0,MIN(Horaires356715[[#This Row],[PNP Fin corrigée]],fin_nuit)-MAX(Horaires356715[[#This Row],[PNP Début corrigé]],deb_nuit)))*24</f>
        <v>0</v>
      </c>
      <c r="P23" s="55">
        <f>(IF(WEEKDAY(Horaires356715[[#This Row],[Date]],2)=7,MAX(0,MIN(fin_dimJF,Horaires356715[[#This Row],[Fin corrigée si nuit]])-MAX(deb_dimJF,Horaires356715[[#This Row],[début]])),0)+IF(WEEKDAY(Horaires356715[[#This Row],[Date]],2)=6,MAX(0,Horaires356715[[#This Row],[Fin corrigée si nuit]]-(1+deb_dimJF)),0))*24</f>
        <v>0</v>
      </c>
      <c r="Q23" s="55">
        <f>(IF(WEEKDAY(Horaires356715[[#This Row],[Date]],2)=7,MAX(0,MIN(fin_dimJF,Horaires356715[[#This Row],[Fin corrigée si nuit]])-MAX(deb_dimJF,Horaires356715[[#This Row],[début]])),0)+IF(WEEKDAY(Horaires356715[[#This Row],[Date]],2)=6,MAX(0,Horaires356715[[#This Row],[Fin corrigée si nuit]]-(1+deb_dimJF)),0))*24-
(IF(WEEKDAY(Horaires356715[[#This Row],[Date]],2)=7,MAX(0,MIN(fin_dimJF,Horaires356715[[#This Row],[PNP Fin corrigée]])-MAX(deb_dimJF,Horaires356715[[#This Row],[PNP Début corrigé]])),0)+IF(WEEKDAY(Horaires356715[[#This Row],[Date]],2)=6,MAX(0,Horaires356715[[#This Row],[PNP Fin corrigée]]-(1+deb_dimJF)),0))*24</f>
        <v>0</v>
      </c>
      <c r="R23" s="55">
        <f>(IF(COUNTIF(JF,Horaires356715[[#This Row],[Date]]),MAX(0,MIN(fin_dimJF,Horaires356715[[#This Row],[Fin corrigée si nuit]])-MAX(deb_dimJF,Horaires356715[[#This Row],[début]])),0)+IF(COUNTIF(JF,Horaires356715[[#This Row],[Date]]+1),MAX(0,Horaires356715[[#This Row],[Fin corrigée si nuit]]-(1+deb_dimJF)),0))*24</f>
        <v>0</v>
      </c>
      <c r="S23" s="55">
        <f>(IF(COUNTIF(JF,Horaires356715[[#This Row],[Date]]),MAX(0,MIN(fin_dimJF,Horaires356715[[#This Row],[Fin corrigée si nuit]])-MAX(deb_dimJF,Horaires356715[[#This Row],[début]])),0)+IF(COUNTIF(JF,Horaires356715[[#This Row],[Date]]+1),MAX(0,Horaires356715[[#This Row],[Fin corrigée si nuit]]-(1+deb_dimJF)),0))*24-
(IF(COUNTIF(JF,Horaires356715[[#This Row],[Date]]),MAX(0,MIN(fin_dimJF,Horaires356715[[#This Row],[PNP Fin corrigée]])-MAX(deb_dimJF,Horaires356715[[#This Row],[PNP Début corrigé]])),0)+IF(COUNTIF(JF,Horaires356715[[#This Row],[Date]]+1),MAX(0,Horaires356715[[#This Row],[PNP Fin corrigée]]-(1+deb_dimJF)),0))*24</f>
        <v>0</v>
      </c>
    </row>
    <row r="24" spans="1:19" x14ac:dyDescent="0.35">
      <c r="A24" s="5"/>
      <c r="B24" s="1"/>
      <c r="C24" s="2"/>
      <c r="D24" s="2"/>
      <c r="E24" s="3"/>
      <c r="F24" s="3"/>
      <c r="G24" s="3"/>
      <c r="H24" s="3"/>
      <c r="I24" s="51">
        <f>0.1*(Horaires356715[[#This Row],[Heures de nuit]]+Horaires356715[[#This Row],[heures jour dimanche]]+Horaires356715[[#This Row],[heures jour fériés]])</f>
        <v>0</v>
      </c>
      <c r="J24" s="52">
        <f>(MOD(Horaires356715[[#This Row],[Fin]]-Horaires356715[[#This Row],[début]],1)-MOD(Horaires356715[[#This Row],[PNP Fin]]-Horaires356715[[#This Row],[PNP Début]],1))*24</f>
        <v>0</v>
      </c>
      <c r="K24" s="53">
        <f>IF(Horaires356715[[#This Row],[PNP Début]]=0,0,IF(Horaires356715[[#This Row],[PNP Début]]&lt;Horaires356715[[#This Row],[début]],1,0)+Horaires356715[[#This Row],[PNP Début]])</f>
        <v>0</v>
      </c>
      <c r="L24" s="54">
        <f>IF(Horaires356715[[#This Row],[PNP Fin]]=0,0,IF(Horaires356715[[#This Row],[PNP Fin]]&lt;Horaires356715[[#This Row],[début]],1,0)+Horaires356715[[#This Row],[PNP Fin]])</f>
        <v>0</v>
      </c>
      <c r="M24" s="54">
        <f>IF(Horaires356715[[#This Row],[Fin]]&lt;Horaires356715[[#This Row],[début]],1,0)+Horaires356715[[#This Row],[Fin]]</f>
        <v>0</v>
      </c>
      <c r="N24" s="35">
        <f>IF(Horaires356715[[#This Row],[Fin]]&lt;Horaires356715[[#This Row],[début]],MAX(0,MIN(Horaires356715[[#This Row],[Fin corrigée si nuit]],fin_nuit)-MAX(Horaires356715[[#This Row],[début]],deb_nuit))*24,(MAX(deb_nuit,Horaires356715[[#This Row],[Fin]])-MAX(deb_nuit,Horaires356715[[#This Row],[début]])+MAX(MIN(fin_nuit-1,Horaires356715[[#This Row],[Fin]])-MIN(fin_nuit-1,Horaires356715[[#This Row],[début]]),0))*24)</f>
        <v>0</v>
      </c>
      <c r="O24" s="55">
        <f>(MAX(0,MIN(Horaires356715[[#This Row],[Fin corrigée si nuit]],fin_nuit)-MAX(Horaires356715[[#This Row],[début]],deb_nuit))-IF(Horaires356715[[#This Row],[PNP Début]]=0,0,MIN(Horaires356715[[#This Row],[PNP Fin corrigée]],fin_nuit)-MAX(Horaires356715[[#This Row],[PNP Début corrigé]],deb_nuit)))*24</f>
        <v>0</v>
      </c>
      <c r="P24" s="55">
        <f>(IF(WEEKDAY(Horaires356715[[#This Row],[Date]],2)=7,MAX(0,MIN(fin_dimJF,Horaires356715[[#This Row],[Fin corrigée si nuit]])-MAX(deb_dimJF,Horaires356715[[#This Row],[début]])),0)+IF(WEEKDAY(Horaires356715[[#This Row],[Date]],2)=6,MAX(0,Horaires356715[[#This Row],[Fin corrigée si nuit]]-(1+deb_dimJF)),0))*24</f>
        <v>0</v>
      </c>
      <c r="Q24" s="55">
        <f>(IF(WEEKDAY(Horaires356715[[#This Row],[Date]],2)=7,MAX(0,MIN(fin_dimJF,Horaires356715[[#This Row],[Fin corrigée si nuit]])-MAX(deb_dimJF,Horaires356715[[#This Row],[début]])),0)+IF(WEEKDAY(Horaires356715[[#This Row],[Date]],2)=6,MAX(0,Horaires356715[[#This Row],[Fin corrigée si nuit]]-(1+deb_dimJF)),0))*24-
(IF(WEEKDAY(Horaires356715[[#This Row],[Date]],2)=7,MAX(0,MIN(fin_dimJF,Horaires356715[[#This Row],[PNP Fin corrigée]])-MAX(deb_dimJF,Horaires356715[[#This Row],[PNP Début corrigé]])),0)+IF(WEEKDAY(Horaires356715[[#This Row],[Date]],2)=6,MAX(0,Horaires356715[[#This Row],[PNP Fin corrigée]]-(1+deb_dimJF)),0))*24</f>
        <v>0</v>
      </c>
      <c r="R24" s="55">
        <f>(IF(COUNTIF(JF,Horaires356715[[#This Row],[Date]]),MAX(0,MIN(fin_dimJF,Horaires356715[[#This Row],[Fin corrigée si nuit]])-MAX(deb_dimJF,Horaires356715[[#This Row],[début]])),0)+IF(COUNTIF(JF,Horaires356715[[#This Row],[Date]]+1),MAX(0,Horaires356715[[#This Row],[Fin corrigée si nuit]]-(1+deb_dimJF)),0))*24</f>
        <v>0</v>
      </c>
      <c r="S24" s="55">
        <f>(IF(COUNTIF(JF,Horaires356715[[#This Row],[Date]]),MAX(0,MIN(fin_dimJF,Horaires356715[[#This Row],[Fin corrigée si nuit]])-MAX(deb_dimJF,Horaires356715[[#This Row],[début]])),0)+IF(COUNTIF(JF,Horaires356715[[#This Row],[Date]]+1),MAX(0,Horaires356715[[#This Row],[Fin corrigée si nuit]]-(1+deb_dimJF)),0))*24-
(IF(COUNTIF(JF,Horaires356715[[#This Row],[Date]]),MAX(0,MIN(fin_dimJF,Horaires356715[[#This Row],[PNP Fin corrigée]])-MAX(deb_dimJF,Horaires356715[[#This Row],[PNP Début corrigé]])),0)+IF(COUNTIF(JF,Horaires356715[[#This Row],[Date]]+1),MAX(0,Horaires356715[[#This Row],[PNP Fin corrigée]]-(1+deb_dimJF)),0))*24</f>
        <v>0</v>
      </c>
    </row>
    <row r="25" spans="1:19" x14ac:dyDescent="0.35">
      <c r="A25" s="5"/>
      <c r="B25" s="1"/>
      <c r="C25" s="2"/>
      <c r="D25" s="2"/>
      <c r="E25" s="3"/>
      <c r="F25" s="3"/>
      <c r="G25" s="3"/>
      <c r="H25" s="3"/>
      <c r="I25" s="51">
        <f>0.1*(Horaires356715[[#This Row],[Heures de nuit]]+Horaires356715[[#This Row],[heures jour dimanche]]+Horaires356715[[#This Row],[heures jour fériés]])</f>
        <v>0</v>
      </c>
      <c r="J25" s="52">
        <f>(MOD(Horaires356715[[#This Row],[Fin]]-Horaires356715[[#This Row],[début]],1)-MOD(Horaires356715[[#This Row],[PNP Fin]]-Horaires356715[[#This Row],[PNP Début]],1))*24</f>
        <v>0</v>
      </c>
      <c r="K25" s="53">
        <f>IF(Horaires356715[[#This Row],[PNP Début]]=0,0,IF(Horaires356715[[#This Row],[PNP Début]]&lt;Horaires356715[[#This Row],[début]],1,0)+Horaires356715[[#This Row],[PNP Début]])</f>
        <v>0</v>
      </c>
      <c r="L25" s="54">
        <f>IF(Horaires356715[[#This Row],[PNP Fin]]=0,0,IF(Horaires356715[[#This Row],[PNP Fin]]&lt;Horaires356715[[#This Row],[début]],1,0)+Horaires356715[[#This Row],[PNP Fin]])</f>
        <v>0</v>
      </c>
      <c r="M25" s="54">
        <f>IF(Horaires356715[[#This Row],[Fin]]&lt;Horaires356715[[#This Row],[début]],1,0)+Horaires356715[[#This Row],[Fin]]</f>
        <v>0</v>
      </c>
      <c r="N25" s="35">
        <f>IF(Horaires356715[[#This Row],[Fin]]&lt;Horaires356715[[#This Row],[début]],MAX(0,MIN(Horaires356715[[#This Row],[Fin corrigée si nuit]],fin_nuit)-MAX(Horaires356715[[#This Row],[début]],deb_nuit))*24,(MAX(deb_nuit,Horaires356715[[#This Row],[Fin]])-MAX(deb_nuit,Horaires356715[[#This Row],[début]])+MAX(MIN(fin_nuit-1,Horaires356715[[#This Row],[Fin]])-MIN(fin_nuit-1,Horaires356715[[#This Row],[début]]),0))*24)</f>
        <v>0</v>
      </c>
      <c r="O25" s="55">
        <f>(MAX(0,MIN(Horaires356715[[#This Row],[Fin corrigée si nuit]],fin_nuit)-MAX(Horaires356715[[#This Row],[début]],deb_nuit))-IF(Horaires356715[[#This Row],[PNP Début]]=0,0,MIN(Horaires356715[[#This Row],[PNP Fin corrigée]],fin_nuit)-MAX(Horaires356715[[#This Row],[PNP Début corrigé]],deb_nuit)))*24</f>
        <v>0</v>
      </c>
      <c r="P25" s="55">
        <f>(IF(WEEKDAY(Horaires356715[[#This Row],[Date]],2)=7,MAX(0,MIN(fin_dimJF,Horaires356715[[#This Row],[Fin corrigée si nuit]])-MAX(deb_dimJF,Horaires356715[[#This Row],[début]])),0)+IF(WEEKDAY(Horaires356715[[#This Row],[Date]],2)=6,MAX(0,Horaires356715[[#This Row],[Fin corrigée si nuit]]-(1+deb_dimJF)),0))*24</f>
        <v>0</v>
      </c>
      <c r="Q25" s="55">
        <f>(IF(WEEKDAY(Horaires356715[[#This Row],[Date]],2)=7,MAX(0,MIN(fin_dimJF,Horaires356715[[#This Row],[Fin corrigée si nuit]])-MAX(deb_dimJF,Horaires356715[[#This Row],[début]])),0)+IF(WEEKDAY(Horaires356715[[#This Row],[Date]],2)=6,MAX(0,Horaires356715[[#This Row],[Fin corrigée si nuit]]-(1+deb_dimJF)),0))*24-
(IF(WEEKDAY(Horaires356715[[#This Row],[Date]],2)=7,MAX(0,MIN(fin_dimJF,Horaires356715[[#This Row],[PNP Fin corrigée]])-MAX(deb_dimJF,Horaires356715[[#This Row],[PNP Début corrigé]])),0)+IF(WEEKDAY(Horaires356715[[#This Row],[Date]],2)=6,MAX(0,Horaires356715[[#This Row],[PNP Fin corrigée]]-(1+deb_dimJF)),0))*24</f>
        <v>0</v>
      </c>
      <c r="R25" s="55">
        <f>(IF(COUNTIF(JF,Horaires356715[[#This Row],[Date]]),MAX(0,MIN(fin_dimJF,Horaires356715[[#This Row],[Fin corrigée si nuit]])-MAX(deb_dimJF,Horaires356715[[#This Row],[début]])),0)+IF(COUNTIF(JF,Horaires356715[[#This Row],[Date]]+1),MAX(0,Horaires356715[[#This Row],[Fin corrigée si nuit]]-(1+deb_dimJF)),0))*24</f>
        <v>0</v>
      </c>
      <c r="S25" s="55">
        <f>(IF(COUNTIF(JF,Horaires356715[[#This Row],[Date]]),MAX(0,MIN(fin_dimJF,Horaires356715[[#This Row],[Fin corrigée si nuit]])-MAX(deb_dimJF,Horaires356715[[#This Row],[début]])),0)+IF(COUNTIF(JF,Horaires356715[[#This Row],[Date]]+1),MAX(0,Horaires356715[[#This Row],[Fin corrigée si nuit]]-(1+deb_dimJF)),0))*24-
(IF(COUNTIF(JF,Horaires356715[[#This Row],[Date]]),MAX(0,MIN(fin_dimJF,Horaires356715[[#This Row],[PNP Fin corrigée]])-MAX(deb_dimJF,Horaires356715[[#This Row],[PNP Début corrigé]])),0)+IF(COUNTIF(JF,Horaires356715[[#This Row],[Date]]+1),MAX(0,Horaires356715[[#This Row],[PNP Fin corrigée]]-(1+deb_dimJF)),0))*24</f>
        <v>0</v>
      </c>
    </row>
    <row r="26" spans="1:19" ht="14.4" customHeight="1" x14ac:dyDescent="0.35">
      <c r="A26" s="5"/>
      <c r="B26" s="1"/>
      <c r="C26" s="2"/>
      <c r="D26" s="2"/>
      <c r="E26" s="3"/>
      <c r="F26" s="3"/>
      <c r="G26" s="3"/>
      <c r="H26" s="3"/>
      <c r="I26" s="51">
        <f>0.1*(Horaires356715[[#This Row],[Heures de nuit]]+Horaires356715[[#This Row],[heures jour dimanche]]+Horaires356715[[#This Row],[heures jour fériés]])</f>
        <v>0</v>
      </c>
      <c r="J26" s="52">
        <f>(MOD(Horaires356715[[#This Row],[Fin]]-Horaires356715[[#This Row],[début]],1)-MOD(Horaires356715[[#This Row],[PNP Fin]]-Horaires356715[[#This Row],[PNP Début]],1))*24</f>
        <v>0</v>
      </c>
      <c r="K26" s="53">
        <f>IF(Horaires356715[[#This Row],[PNP Début]]=0,0,IF(Horaires356715[[#This Row],[PNP Début]]&lt;Horaires356715[[#This Row],[début]],1,0)+Horaires356715[[#This Row],[PNP Début]])</f>
        <v>0</v>
      </c>
      <c r="L26" s="54">
        <f>IF(Horaires356715[[#This Row],[PNP Fin]]=0,0,IF(Horaires356715[[#This Row],[PNP Fin]]&lt;Horaires356715[[#This Row],[début]],1,0)+Horaires356715[[#This Row],[PNP Fin]])</f>
        <v>0</v>
      </c>
      <c r="M26" s="54">
        <f>IF(Horaires356715[[#This Row],[Fin]]&lt;Horaires356715[[#This Row],[début]],1,0)+Horaires356715[[#This Row],[Fin]]</f>
        <v>0</v>
      </c>
      <c r="N26" s="35">
        <f>IF(Horaires356715[[#This Row],[Fin]]&lt;Horaires356715[[#This Row],[début]],MAX(0,MIN(Horaires356715[[#This Row],[Fin corrigée si nuit]],fin_nuit)-MAX(Horaires356715[[#This Row],[début]],deb_nuit))*24,(MAX(deb_nuit,Horaires356715[[#This Row],[Fin]])-MAX(deb_nuit,Horaires356715[[#This Row],[début]])+MAX(MIN(fin_nuit-1,Horaires356715[[#This Row],[Fin]])-MIN(fin_nuit-1,Horaires356715[[#This Row],[début]]),0))*24)</f>
        <v>0</v>
      </c>
      <c r="O26" s="55">
        <f>(MAX(0,MIN(Horaires356715[[#This Row],[Fin corrigée si nuit]],fin_nuit)-MAX(Horaires356715[[#This Row],[début]],deb_nuit))-IF(Horaires356715[[#This Row],[PNP Début]]=0,0,MIN(Horaires356715[[#This Row],[PNP Fin corrigée]],fin_nuit)-MAX(Horaires356715[[#This Row],[PNP Début corrigé]],deb_nuit)))*24</f>
        <v>0</v>
      </c>
      <c r="P26" s="55">
        <f>(IF(WEEKDAY(Horaires356715[[#This Row],[Date]],2)=7,MAX(0,MIN(fin_dimJF,Horaires356715[[#This Row],[Fin corrigée si nuit]])-MAX(deb_dimJF,Horaires356715[[#This Row],[début]])),0)+IF(WEEKDAY(Horaires356715[[#This Row],[Date]],2)=6,MAX(0,Horaires356715[[#This Row],[Fin corrigée si nuit]]-(1+deb_dimJF)),0))*24</f>
        <v>0</v>
      </c>
      <c r="Q26" s="55">
        <f>(IF(WEEKDAY(Horaires356715[[#This Row],[Date]],2)=7,MAX(0,MIN(fin_dimJF,Horaires356715[[#This Row],[Fin corrigée si nuit]])-MAX(deb_dimJF,Horaires356715[[#This Row],[début]])),0)+IF(WEEKDAY(Horaires356715[[#This Row],[Date]],2)=6,MAX(0,Horaires356715[[#This Row],[Fin corrigée si nuit]]-(1+deb_dimJF)),0))*24-
(IF(WEEKDAY(Horaires356715[[#This Row],[Date]],2)=7,MAX(0,MIN(fin_dimJF,Horaires356715[[#This Row],[PNP Fin corrigée]])-MAX(deb_dimJF,Horaires356715[[#This Row],[PNP Début corrigé]])),0)+IF(WEEKDAY(Horaires356715[[#This Row],[Date]],2)=6,MAX(0,Horaires356715[[#This Row],[PNP Fin corrigée]]-(1+deb_dimJF)),0))*24</f>
        <v>0</v>
      </c>
      <c r="R26" s="55">
        <f>(IF(COUNTIF(JF,Horaires356715[[#This Row],[Date]]),MAX(0,MIN(fin_dimJF,Horaires356715[[#This Row],[Fin corrigée si nuit]])-MAX(deb_dimJF,Horaires356715[[#This Row],[début]])),0)+IF(COUNTIF(JF,Horaires356715[[#This Row],[Date]]+1),MAX(0,Horaires356715[[#This Row],[Fin corrigée si nuit]]-(1+deb_dimJF)),0))*24</f>
        <v>0</v>
      </c>
      <c r="S26" s="55">
        <f>(IF(COUNTIF(JF,Horaires356715[[#This Row],[Date]]),MAX(0,MIN(fin_dimJF,Horaires356715[[#This Row],[Fin corrigée si nuit]])-MAX(deb_dimJF,Horaires356715[[#This Row],[début]])),0)+IF(COUNTIF(JF,Horaires356715[[#This Row],[Date]]+1),MAX(0,Horaires356715[[#This Row],[Fin corrigée si nuit]]-(1+deb_dimJF)),0))*24-
(IF(COUNTIF(JF,Horaires356715[[#This Row],[Date]]),MAX(0,MIN(fin_dimJF,Horaires356715[[#This Row],[PNP Fin corrigée]])-MAX(deb_dimJF,Horaires356715[[#This Row],[PNP Début corrigé]])),0)+IF(COUNTIF(JF,Horaires356715[[#This Row],[Date]]+1),MAX(0,Horaires356715[[#This Row],[PNP Fin corrigée]]-(1+deb_dimJF)),0))*24</f>
        <v>0</v>
      </c>
    </row>
    <row r="27" spans="1:19" x14ac:dyDescent="0.35">
      <c r="A27" s="5"/>
      <c r="B27" s="1"/>
      <c r="C27" s="2"/>
      <c r="D27" s="2"/>
      <c r="E27" s="3"/>
      <c r="F27" s="3"/>
      <c r="G27" s="3"/>
      <c r="H27" s="3"/>
      <c r="I27" s="51">
        <f>0.1*(Horaires356715[[#This Row],[Heures de nuit]]+Horaires356715[[#This Row],[heures jour dimanche]]+Horaires356715[[#This Row],[heures jour fériés]])</f>
        <v>0</v>
      </c>
      <c r="J27" s="52">
        <f>(MOD(Horaires356715[[#This Row],[Fin]]-Horaires356715[[#This Row],[début]],1)-MOD(Horaires356715[[#This Row],[PNP Fin]]-Horaires356715[[#This Row],[PNP Début]],1))*24</f>
        <v>0</v>
      </c>
      <c r="K27" s="53">
        <f>IF(Horaires356715[[#This Row],[PNP Début]]=0,0,IF(Horaires356715[[#This Row],[PNP Début]]&lt;Horaires356715[[#This Row],[début]],1,0)+Horaires356715[[#This Row],[PNP Début]])</f>
        <v>0</v>
      </c>
      <c r="L27" s="54">
        <f>IF(Horaires356715[[#This Row],[PNP Fin]]=0,0,IF(Horaires356715[[#This Row],[PNP Fin]]&lt;Horaires356715[[#This Row],[début]],1,0)+Horaires356715[[#This Row],[PNP Fin]])</f>
        <v>0</v>
      </c>
      <c r="M27" s="54">
        <f>IF(Horaires356715[[#This Row],[Fin]]&lt;Horaires356715[[#This Row],[début]],1,0)+Horaires356715[[#This Row],[Fin]]</f>
        <v>0</v>
      </c>
      <c r="N27" s="35">
        <f>IF(Horaires356715[[#This Row],[Fin]]&lt;Horaires356715[[#This Row],[début]],MAX(0,MIN(Horaires356715[[#This Row],[Fin corrigée si nuit]],fin_nuit)-MAX(Horaires356715[[#This Row],[début]],deb_nuit))*24,(MAX(deb_nuit,Horaires356715[[#This Row],[Fin]])-MAX(deb_nuit,Horaires356715[[#This Row],[début]])+MAX(MIN(fin_nuit-1,Horaires356715[[#This Row],[Fin]])-MIN(fin_nuit-1,Horaires356715[[#This Row],[début]]),0))*24)</f>
        <v>0</v>
      </c>
      <c r="O27" s="55">
        <f>(MAX(0,MIN(Horaires356715[[#This Row],[Fin corrigée si nuit]],fin_nuit)-MAX(Horaires356715[[#This Row],[début]],deb_nuit))-IF(Horaires356715[[#This Row],[PNP Début]]=0,0,MIN(Horaires356715[[#This Row],[PNP Fin corrigée]],fin_nuit)-MAX(Horaires356715[[#This Row],[PNP Début corrigé]],deb_nuit)))*24</f>
        <v>0</v>
      </c>
      <c r="P27" s="55">
        <f>(IF(WEEKDAY(Horaires356715[[#This Row],[Date]],2)=7,MAX(0,MIN(fin_dimJF,Horaires356715[[#This Row],[Fin corrigée si nuit]])-MAX(deb_dimJF,Horaires356715[[#This Row],[début]])),0)+IF(WEEKDAY(Horaires356715[[#This Row],[Date]],2)=6,MAX(0,Horaires356715[[#This Row],[Fin corrigée si nuit]]-(1+deb_dimJF)),0))*24</f>
        <v>0</v>
      </c>
      <c r="Q27" s="55">
        <f>(IF(WEEKDAY(Horaires356715[[#This Row],[Date]],2)=7,MAX(0,MIN(fin_dimJF,Horaires356715[[#This Row],[Fin corrigée si nuit]])-MAX(deb_dimJF,Horaires356715[[#This Row],[début]])),0)+IF(WEEKDAY(Horaires356715[[#This Row],[Date]],2)=6,MAX(0,Horaires356715[[#This Row],[Fin corrigée si nuit]]-(1+deb_dimJF)),0))*24-
(IF(WEEKDAY(Horaires356715[[#This Row],[Date]],2)=7,MAX(0,MIN(fin_dimJF,Horaires356715[[#This Row],[PNP Fin corrigée]])-MAX(deb_dimJF,Horaires356715[[#This Row],[PNP Début corrigé]])),0)+IF(WEEKDAY(Horaires356715[[#This Row],[Date]],2)=6,MAX(0,Horaires356715[[#This Row],[PNP Fin corrigée]]-(1+deb_dimJF)),0))*24</f>
        <v>0</v>
      </c>
      <c r="R27" s="55">
        <f>(IF(COUNTIF(JF,Horaires356715[[#This Row],[Date]]),MAX(0,MIN(fin_dimJF,Horaires356715[[#This Row],[Fin corrigée si nuit]])-MAX(deb_dimJF,Horaires356715[[#This Row],[début]])),0)+IF(COUNTIF(JF,Horaires356715[[#This Row],[Date]]+1),MAX(0,Horaires356715[[#This Row],[Fin corrigée si nuit]]-(1+deb_dimJF)),0))*24</f>
        <v>0</v>
      </c>
      <c r="S27" s="55">
        <f>(IF(COUNTIF(JF,Horaires356715[[#This Row],[Date]]),MAX(0,MIN(fin_dimJF,Horaires356715[[#This Row],[Fin corrigée si nuit]])-MAX(deb_dimJF,Horaires356715[[#This Row],[début]])),0)+IF(COUNTIF(JF,Horaires356715[[#This Row],[Date]]+1),MAX(0,Horaires356715[[#This Row],[Fin corrigée si nuit]]-(1+deb_dimJF)),0))*24-
(IF(COUNTIF(JF,Horaires356715[[#This Row],[Date]]),MAX(0,MIN(fin_dimJF,Horaires356715[[#This Row],[PNP Fin corrigée]])-MAX(deb_dimJF,Horaires356715[[#This Row],[PNP Début corrigé]])),0)+IF(COUNTIF(JF,Horaires356715[[#This Row],[Date]]+1),MAX(0,Horaires356715[[#This Row],[PNP Fin corrigée]]-(1+deb_dimJF)),0))*24</f>
        <v>0</v>
      </c>
    </row>
    <row r="28" spans="1:19" x14ac:dyDescent="0.35">
      <c r="A28" s="5"/>
      <c r="B28" s="1"/>
      <c r="C28" s="2"/>
      <c r="D28" s="2"/>
      <c r="E28" s="3"/>
      <c r="F28" s="3"/>
      <c r="G28" s="3"/>
      <c r="H28" s="3"/>
      <c r="I28" s="51">
        <f>0.1*(Horaires356715[[#This Row],[Heures de nuit]]+Horaires356715[[#This Row],[heures jour dimanche]]+Horaires356715[[#This Row],[heures jour fériés]])</f>
        <v>0</v>
      </c>
      <c r="J28" s="52">
        <f>(MOD(Horaires356715[[#This Row],[Fin]]-Horaires356715[[#This Row],[début]],1)-MOD(Horaires356715[[#This Row],[PNP Fin]]-Horaires356715[[#This Row],[PNP Début]],1))*24</f>
        <v>0</v>
      </c>
      <c r="K28" s="53">
        <f>IF(Horaires356715[[#This Row],[PNP Début]]=0,0,IF(Horaires356715[[#This Row],[PNP Début]]&lt;Horaires356715[[#This Row],[début]],1,0)+Horaires356715[[#This Row],[PNP Début]])</f>
        <v>0</v>
      </c>
      <c r="L28" s="54">
        <f>IF(Horaires356715[[#This Row],[PNP Fin]]=0,0,IF(Horaires356715[[#This Row],[PNP Fin]]&lt;Horaires356715[[#This Row],[début]],1,0)+Horaires356715[[#This Row],[PNP Fin]])</f>
        <v>0</v>
      </c>
      <c r="M28" s="54">
        <f>IF(Horaires356715[[#This Row],[Fin]]&lt;Horaires356715[[#This Row],[début]],1,0)+Horaires356715[[#This Row],[Fin]]</f>
        <v>0</v>
      </c>
      <c r="N28" s="35">
        <f>IF(Horaires356715[[#This Row],[Fin]]&lt;Horaires356715[[#This Row],[début]],MAX(0,MIN(Horaires356715[[#This Row],[Fin corrigée si nuit]],fin_nuit)-MAX(Horaires356715[[#This Row],[début]],deb_nuit))*24,(MAX(deb_nuit,Horaires356715[[#This Row],[Fin]])-MAX(deb_nuit,Horaires356715[[#This Row],[début]])+MAX(MIN(fin_nuit-1,Horaires356715[[#This Row],[Fin]])-MIN(fin_nuit-1,Horaires356715[[#This Row],[début]]),0))*24)</f>
        <v>0</v>
      </c>
      <c r="O28" s="55">
        <f>(MAX(0,MIN(Horaires356715[[#This Row],[Fin corrigée si nuit]],fin_nuit)-MAX(Horaires356715[[#This Row],[début]],deb_nuit))-IF(Horaires356715[[#This Row],[PNP Début]]=0,0,MIN(Horaires356715[[#This Row],[PNP Fin corrigée]],fin_nuit)-MAX(Horaires356715[[#This Row],[PNP Début corrigé]],deb_nuit)))*24</f>
        <v>0</v>
      </c>
      <c r="P28" s="55">
        <f>(IF(WEEKDAY(Horaires356715[[#This Row],[Date]],2)=7,MAX(0,MIN(fin_dimJF,Horaires356715[[#This Row],[Fin corrigée si nuit]])-MAX(deb_dimJF,Horaires356715[[#This Row],[début]])),0)+IF(WEEKDAY(Horaires356715[[#This Row],[Date]],2)=6,MAX(0,Horaires356715[[#This Row],[Fin corrigée si nuit]]-(1+deb_dimJF)),0))*24</f>
        <v>0</v>
      </c>
      <c r="Q28" s="55">
        <f>(IF(WEEKDAY(Horaires356715[[#This Row],[Date]],2)=7,MAX(0,MIN(fin_dimJF,Horaires356715[[#This Row],[Fin corrigée si nuit]])-MAX(deb_dimJF,Horaires356715[[#This Row],[début]])),0)+IF(WEEKDAY(Horaires356715[[#This Row],[Date]],2)=6,MAX(0,Horaires356715[[#This Row],[Fin corrigée si nuit]]-(1+deb_dimJF)),0))*24-
(IF(WEEKDAY(Horaires356715[[#This Row],[Date]],2)=7,MAX(0,MIN(fin_dimJF,Horaires356715[[#This Row],[PNP Fin corrigée]])-MAX(deb_dimJF,Horaires356715[[#This Row],[PNP Début corrigé]])),0)+IF(WEEKDAY(Horaires356715[[#This Row],[Date]],2)=6,MAX(0,Horaires356715[[#This Row],[PNP Fin corrigée]]-(1+deb_dimJF)),0))*24</f>
        <v>0</v>
      </c>
      <c r="R28" s="55">
        <f>(IF(COUNTIF(JF,Horaires356715[[#This Row],[Date]]),MAX(0,MIN(fin_dimJF,Horaires356715[[#This Row],[Fin corrigée si nuit]])-MAX(deb_dimJF,Horaires356715[[#This Row],[début]])),0)+IF(COUNTIF(JF,Horaires356715[[#This Row],[Date]]+1),MAX(0,Horaires356715[[#This Row],[Fin corrigée si nuit]]-(1+deb_dimJF)),0))*24</f>
        <v>0</v>
      </c>
      <c r="S28" s="55">
        <f>(IF(COUNTIF(JF,Horaires356715[[#This Row],[Date]]),MAX(0,MIN(fin_dimJF,Horaires356715[[#This Row],[Fin corrigée si nuit]])-MAX(deb_dimJF,Horaires356715[[#This Row],[début]])),0)+IF(COUNTIF(JF,Horaires356715[[#This Row],[Date]]+1),MAX(0,Horaires356715[[#This Row],[Fin corrigée si nuit]]-(1+deb_dimJF)),0))*24-
(IF(COUNTIF(JF,Horaires356715[[#This Row],[Date]]),MAX(0,MIN(fin_dimJF,Horaires356715[[#This Row],[PNP Fin corrigée]])-MAX(deb_dimJF,Horaires356715[[#This Row],[PNP Début corrigé]])),0)+IF(COUNTIF(JF,Horaires356715[[#This Row],[Date]]+1),MAX(0,Horaires356715[[#This Row],[PNP Fin corrigée]]-(1+deb_dimJF)),0))*24</f>
        <v>0</v>
      </c>
    </row>
    <row r="29" spans="1:19" x14ac:dyDescent="0.35">
      <c r="A29" s="5"/>
      <c r="B29" s="1"/>
      <c r="C29" s="2"/>
      <c r="D29" s="2"/>
      <c r="E29" s="3"/>
      <c r="F29" s="3"/>
      <c r="G29" s="3"/>
      <c r="H29" s="3"/>
      <c r="I29" s="51">
        <f>0.1*(Horaires356715[[#This Row],[Heures de nuit]]+Horaires356715[[#This Row],[heures jour dimanche]]+Horaires356715[[#This Row],[heures jour fériés]])</f>
        <v>0</v>
      </c>
      <c r="J29" s="52">
        <f>(MOD(Horaires356715[[#This Row],[Fin]]-Horaires356715[[#This Row],[début]],1)-MOD(Horaires356715[[#This Row],[PNP Fin]]-Horaires356715[[#This Row],[PNP Début]],1))*24</f>
        <v>0</v>
      </c>
      <c r="K29" s="53">
        <f>IF(Horaires356715[[#This Row],[PNP Début]]=0,0,IF(Horaires356715[[#This Row],[PNP Début]]&lt;Horaires356715[[#This Row],[début]],1,0)+Horaires356715[[#This Row],[PNP Début]])</f>
        <v>0</v>
      </c>
      <c r="L29" s="54">
        <f>IF(Horaires356715[[#This Row],[PNP Fin]]=0,0,IF(Horaires356715[[#This Row],[PNP Fin]]&lt;Horaires356715[[#This Row],[début]],1,0)+Horaires356715[[#This Row],[PNP Fin]])</f>
        <v>0</v>
      </c>
      <c r="M29" s="54">
        <f>IF(Horaires356715[[#This Row],[Fin]]&lt;Horaires356715[[#This Row],[début]],1,0)+Horaires356715[[#This Row],[Fin]]</f>
        <v>0</v>
      </c>
      <c r="N29" s="35">
        <f>IF(Horaires356715[[#This Row],[Fin]]&lt;Horaires356715[[#This Row],[début]],MAX(0,MIN(Horaires356715[[#This Row],[Fin corrigée si nuit]],fin_nuit)-MAX(Horaires356715[[#This Row],[début]],deb_nuit))*24,(MAX(deb_nuit,Horaires356715[[#This Row],[Fin]])-MAX(deb_nuit,Horaires356715[[#This Row],[début]])+MAX(MIN(fin_nuit-1,Horaires356715[[#This Row],[Fin]])-MIN(fin_nuit-1,Horaires356715[[#This Row],[début]]),0))*24)</f>
        <v>0</v>
      </c>
      <c r="O29" s="55">
        <f>(MAX(0,MIN(Horaires356715[[#This Row],[Fin corrigée si nuit]],fin_nuit)-MAX(Horaires356715[[#This Row],[début]],deb_nuit))-IF(Horaires356715[[#This Row],[PNP Début]]=0,0,MIN(Horaires356715[[#This Row],[PNP Fin corrigée]],fin_nuit)-MAX(Horaires356715[[#This Row],[PNP Début corrigé]],deb_nuit)))*24</f>
        <v>0</v>
      </c>
      <c r="P29" s="55">
        <f>(IF(WEEKDAY(Horaires356715[[#This Row],[Date]],2)=7,MAX(0,MIN(fin_dimJF,Horaires356715[[#This Row],[Fin corrigée si nuit]])-MAX(deb_dimJF,Horaires356715[[#This Row],[début]])),0)+IF(WEEKDAY(Horaires356715[[#This Row],[Date]],2)=6,MAX(0,Horaires356715[[#This Row],[Fin corrigée si nuit]]-(1+deb_dimJF)),0))*24</f>
        <v>0</v>
      </c>
      <c r="Q29" s="55">
        <f>(IF(WEEKDAY(Horaires356715[[#This Row],[Date]],2)=7,MAX(0,MIN(fin_dimJF,Horaires356715[[#This Row],[Fin corrigée si nuit]])-MAX(deb_dimJF,Horaires356715[[#This Row],[début]])),0)+IF(WEEKDAY(Horaires356715[[#This Row],[Date]],2)=6,MAX(0,Horaires356715[[#This Row],[Fin corrigée si nuit]]-(1+deb_dimJF)),0))*24-
(IF(WEEKDAY(Horaires356715[[#This Row],[Date]],2)=7,MAX(0,MIN(fin_dimJF,Horaires356715[[#This Row],[PNP Fin corrigée]])-MAX(deb_dimJF,Horaires356715[[#This Row],[PNP Début corrigé]])),0)+IF(WEEKDAY(Horaires356715[[#This Row],[Date]],2)=6,MAX(0,Horaires356715[[#This Row],[PNP Fin corrigée]]-(1+deb_dimJF)),0))*24</f>
        <v>0</v>
      </c>
      <c r="R29" s="55">
        <f>(IF(COUNTIF(JF,Horaires356715[[#This Row],[Date]]),MAX(0,MIN(fin_dimJF,Horaires356715[[#This Row],[Fin corrigée si nuit]])-MAX(deb_dimJF,Horaires356715[[#This Row],[début]])),0)+IF(COUNTIF(JF,Horaires356715[[#This Row],[Date]]+1),MAX(0,Horaires356715[[#This Row],[Fin corrigée si nuit]]-(1+deb_dimJF)),0))*24</f>
        <v>0</v>
      </c>
      <c r="S29" s="55">
        <f>(IF(COUNTIF(JF,Horaires356715[[#This Row],[Date]]),MAX(0,MIN(fin_dimJF,Horaires356715[[#This Row],[Fin corrigée si nuit]])-MAX(deb_dimJF,Horaires356715[[#This Row],[début]])),0)+IF(COUNTIF(JF,Horaires356715[[#This Row],[Date]]+1),MAX(0,Horaires356715[[#This Row],[Fin corrigée si nuit]]-(1+deb_dimJF)),0))*24-
(IF(COUNTIF(JF,Horaires356715[[#This Row],[Date]]),MAX(0,MIN(fin_dimJF,Horaires356715[[#This Row],[PNP Fin corrigée]])-MAX(deb_dimJF,Horaires356715[[#This Row],[PNP Début corrigé]])),0)+IF(COUNTIF(JF,Horaires356715[[#This Row],[Date]]+1),MAX(0,Horaires356715[[#This Row],[PNP Fin corrigée]]-(1+deb_dimJF)),0))*24</f>
        <v>0</v>
      </c>
    </row>
    <row r="30" spans="1:19" x14ac:dyDescent="0.35">
      <c r="A30" s="5"/>
      <c r="B30" s="1"/>
      <c r="C30" s="2"/>
      <c r="D30" s="2"/>
      <c r="E30" s="3"/>
      <c r="F30" s="3"/>
      <c r="G30" s="3"/>
      <c r="H30" s="3"/>
      <c r="I30" s="51">
        <f>0.1*(Horaires356715[[#This Row],[Heures de nuit]]+Horaires356715[[#This Row],[heures jour dimanche]]+Horaires356715[[#This Row],[heures jour fériés]])</f>
        <v>0</v>
      </c>
      <c r="J30" s="52">
        <f>(MOD(Horaires356715[[#This Row],[Fin]]-Horaires356715[[#This Row],[début]],1)-MOD(Horaires356715[[#This Row],[PNP Fin]]-Horaires356715[[#This Row],[PNP Début]],1))*24</f>
        <v>0</v>
      </c>
      <c r="K30" s="53">
        <f>IF(Horaires356715[[#This Row],[PNP Début]]=0,0,IF(Horaires356715[[#This Row],[PNP Début]]&lt;Horaires356715[[#This Row],[début]],1,0)+Horaires356715[[#This Row],[PNP Début]])</f>
        <v>0</v>
      </c>
      <c r="L30" s="54">
        <f>IF(Horaires356715[[#This Row],[PNP Fin]]=0,0,IF(Horaires356715[[#This Row],[PNP Fin]]&lt;Horaires356715[[#This Row],[début]],1,0)+Horaires356715[[#This Row],[PNP Fin]])</f>
        <v>0</v>
      </c>
      <c r="M30" s="54">
        <f>IF(Horaires356715[[#This Row],[Fin]]&lt;Horaires356715[[#This Row],[début]],1,0)+Horaires356715[[#This Row],[Fin]]</f>
        <v>0</v>
      </c>
      <c r="N30" s="35">
        <f>IF(Horaires356715[[#This Row],[Fin]]&lt;Horaires356715[[#This Row],[début]],MAX(0,MIN(Horaires356715[[#This Row],[Fin corrigée si nuit]],fin_nuit)-MAX(Horaires356715[[#This Row],[début]],deb_nuit))*24,(MAX(deb_nuit,Horaires356715[[#This Row],[Fin]])-MAX(deb_nuit,Horaires356715[[#This Row],[début]])+MAX(MIN(fin_nuit-1,Horaires356715[[#This Row],[Fin]])-MIN(fin_nuit-1,Horaires356715[[#This Row],[début]]),0))*24)</f>
        <v>0</v>
      </c>
      <c r="O30" s="55">
        <f>(MAX(0,MIN(Horaires356715[[#This Row],[Fin corrigée si nuit]],fin_nuit)-MAX(Horaires356715[[#This Row],[début]],deb_nuit))-IF(Horaires356715[[#This Row],[PNP Début]]=0,0,MIN(Horaires356715[[#This Row],[PNP Fin corrigée]],fin_nuit)-MAX(Horaires356715[[#This Row],[PNP Début corrigé]],deb_nuit)))*24</f>
        <v>0</v>
      </c>
      <c r="P30" s="55">
        <f>(IF(WEEKDAY(Horaires356715[[#This Row],[Date]],2)=7,MAX(0,MIN(fin_dimJF,Horaires356715[[#This Row],[Fin corrigée si nuit]])-MAX(deb_dimJF,Horaires356715[[#This Row],[début]])),0)+IF(WEEKDAY(Horaires356715[[#This Row],[Date]],2)=6,MAX(0,Horaires356715[[#This Row],[Fin corrigée si nuit]]-(1+deb_dimJF)),0))*24</f>
        <v>0</v>
      </c>
      <c r="Q30" s="55">
        <f>(IF(WEEKDAY(Horaires356715[[#This Row],[Date]],2)=7,MAX(0,MIN(fin_dimJF,Horaires356715[[#This Row],[Fin corrigée si nuit]])-MAX(deb_dimJF,Horaires356715[[#This Row],[début]])),0)+IF(WEEKDAY(Horaires356715[[#This Row],[Date]],2)=6,MAX(0,Horaires356715[[#This Row],[Fin corrigée si nuit]]-(1+deb_dimJF)),0))*24-
(IF(WEEKDAY(Horaires356715[[#This Row],[Date]],2)=7,MAX(0,MIN(fin_dimJF,Horaires356715[[#This Row],[PNP Fin corrigée]])-MAX(deb_dimJF,Horaires356715[[#This Row],[PNP Début corrigé]])),0)+IF(WEEKDAY(Horaires356715[[#This Row],[Date]],2)=6,MAX(0,Horaires356715[[#This Row],[PNP Fin corrigée]]-(1+deb_dimJF)),0))*24</f>
        <v>0</v>
      </c>
      <c r="R30" s="55">
        <f>(IF(COUNTIF(JF,Horaires356715[[#This Row],[Date]]),MAX(0,MIN(fin_dimJF,Horaires356715[[#This Row],[Fin corrigée si nuit]])-MAX(deb_dimJF,Horaires356715[[#This Row],[début]])),0)+IF(COUNTIF(JF,Horaires356715[[#This Row],[Date]]+1),MAX(0,Horaires356715[[#This Row],[Fin corrigée si nuit]]-(1+deb_dimJF)),0))*24</f>
        <v>0</v>
      </c>
      <c r="S30" s="55">
        <f>(IF(COUNTIF(JF,Horaires356715[[#This Row],[Date]]),MAX(0,MIN(fin_dimJF,Horaires356715[[#This Row],[Fin corrigée si nuit]])-MAX(deb_dimJF,Horaires356715[[#This Row],[début]])),0)+IF(COUNTIF(JF,Horaires356715[[#This Row],[Date]]+1),MAX(0,Horaires356715[[#This Row],[Fin corrigée si nuit]]-(1+deb_dimJF)),0))*24-
(IF(COUNTIF(JF,Horaires356715[[#This Row],[Date]]),MAX(0,MIN(fin_dimJF,Horaires356715[[#This Row],[PNP Fin corrigée]])-MAX(deb_dimJF,Horaires356715[[#This Row],[PNP Début corrigé]])),0)+IF(COUNTIF(JF,Horaires356715[[#This Row],[Date]]+1),MAX(0,Horaires356715[[#This Row],[PNP Fin corrigée]]-(1+deb_dimJF)),0))*24</f>
        <v>0</v>
      </c>
    </row>
    <row r="31" spans="1:19" x14ac:dyDescent="0.35">
      <c r="A31" s="5"/>
      <c r="B31" s="1"/>
      <c r="C31" s="2"/>
      <c r="D31" s="2"/>
      <c r="E31" s="3"/>
      <c r="F31" s="3"/>
      <c r="G31" s="3"/>
      <c r="H31" s="3"/>
      <c r="I31" s="51">
        <f>0.1*(Horaires356715[[#This Row],[Heures de nuit]]+Horaires356715[[#This Row],[heures jour dimanche]]+Horaires356715[[#This Row],[heures jour fériés]])</f>
        <v>0</v>
      </c>
      <c r="J31" s="52">
        <f>(MOD(Horaires356715[[#This Row],[Fin]]-Horaires356715[[#This Row],[début]],1)-MOD(Horaires356715[[#This Row],[PNP Fin]]-Horaires356715[[#This Row],[PNP Début]],1))*24</f>
        <v>0</v>
      </c>
      <c r="K31" s="53">
        <f>IF(Horaires356715[[#This Row],[PNP Début]]=0,0,IF(Horaires356715[[#This Row],[PNP Début]]&lt;Horaires356715[[#This Row],[début]],1,0)+Horaires356715[[#This Row],[PNP Début]])</f>
        <v>0</v>
      </c>
      <c r="L31" s="54">
        <f>IF(Horaires356715[[#This Row],[PNP Fin]]=0,0,IF(Horaires356715[[#This Row],[PNP Fin]]&lt;Horaires356715[[#This Row],[début]],1,0)+Horaires356715[[#This Row],[PNP Fin]])</f>
        <v>0</v>
      </c>
      <c r="M31" s="54">
        <f>IF(Horaires356715[[#This Row],[Fin]]&lt;Horaires356715[[#This Row],[début]],1,0)+Horaires356715[[#This Row],[Fin]]</f>
        <v>0</v>
      </c>
      <c r="N31" s="35">
        <f>IF(Horaires356715[[#This Row],[Fin]]&lt;Horaires356715[[#This Row],[début]],MAX(0,MIN(Horaires356715[[#This Row],[Fin corrigée si nuit]],fin_nuit)-MAX(Horaires356715[[#This Row],[début]],deb_nuit))*24,(MAX(deb_nuit,Horaires356715[[#This Row],[Fin]])-MAX(deb_nuit,Horaires356715[[#This Row],[début]])+MAX(MIN(fin_nuit-1,Horaires356715[[#This Row],[Fin]])-MIN(fin_nuit-1,Horaires356715[[#This Row],[début]]),0))*24)</f>
        <v>0</v>
      </c>
      <c r="O31" s="55">
        <f>(MAX(0,MIN(Horaires356715[[#This Row],[Fin corrigée si nuit]],fin_nuit)-MAX(Horaires356715[[#This Row],[début]],deb_nuit))-IF(Horaires356715[[#This Row],[PNP Début]]=0,0,MIN(Horaires356715[[#This Row],[PNP Fin corrigée]],fin_nuit)-MAX(Horaires356715[[#This Row],[PNP Début corrigé]],deb_nuit)))*24</f>
        <v>0</v>
      </c>
      <c r="P31" s="55">
        <f>(IF(WEEKDAY(Horaires356715[[#This Row],[Date]],2)=7,MAX(0,MIN(fin_dimJF,Horaires356715[[#This Row],[Fin corrigée si nuit]])-MAX(deb_dimJF,Horaires356715[[#This Row],[début]])),0)+IF(WEEKDAY(Horaires356715[[#This Row],[Date]],2)=6,MAX(0,Horaires356715[[#This Row],[Fin corrigée si nuit]]-(1+deb_dimJF)),0))*24</f>
        <v>0</v>
      </c>
      <c r="Q31" s="55">
        <f>(IF(WEEKDAY(Horaires356715[[#This Row],[Date]],2)=7,MAX(0,MIN(fin_dimJF,Horaires356715[[#This Row],[Fin corrigée si nuit]])-MAX(deb_dimJF,Horaires356715[[#This Row],[début]])),0)+IF(WEEKDAY(Horaires356715[[#This Row],[Date]],2)=6,MAX(0,Horaires356715[[#This Row],[Fin corrigée si nuit]]-(1+deb_dimJF)),0))*24-
(IF(WEEKDAY(Horaires356715[[#This Row],[Date]],2)=7,MAX(0,MIN(fin_dimJF,Horaires356715[[#This Row],[PNP Fin corrigée]])-MAX(deb_dimJF,Horaires356715[[#This Row],[PNP Début corrigé]])),0)+IF(WEEKDAY(Horaires356715[[#This Row],[Date]],2)=6,MAX(0,Horaires356715[[#This Row],[PNP Fin corrigée]]-(1+deb_dimJF)),0))*24</f>
        <v>0</v>
      </c>
      <c r="R31" s="55">
        <f>(IF(COUNTIF(JF,Horaires356715[[#This Row],[Date]]),MAX(0,MIN(fin_dimJF,Horaires356715[[#This Row],[Fin corrigée si nuit]])-MAX(deb_dimJF,Horaires356715[[#This Row],[début]])),0)+IF(COUNTIF(JF,Horaires356715[[#This Row],[Date]]+1),MAX(0,Horaires356715[[#This Row],[Fin corrigée si nuit]]-(1+deb_dimJF)),0))*24</f>
        <v>0</v>
      </c>
      <c r="S31" s="55">
        <f>(IF(COUNTIF(JF,Horaires356715[[#This Row],[Date]]),MAX(0,MIN(fin_dimJF,Horaires356715[[#This Row],[Fin corrigée si nuit]])-MAX(deb_dimJF,Horaires356715[[#This Row],[début]])),0)+IF(COUNTIF(JF,Horaires356715[[#This Row],[Date]]+1),MAX(0,Horaires356715[[#This Row],[Fin corrigée si nuit]]-(1+deb_dimJF)),0))*24-
(IF(COUNTIF(JF,Horaires356715[[#This Row],[Date]]),MAX(0,MIN(fin_dimJF,Horaires356715[[#This Row],[PNP Fin corrigée]])-MAX(deb_dimJF,Horaires356715[[#This Row],[PNP Début corrigé]])),0)+IF(COUNTIF(JF,Horaires356715[[#This Row],[Date]]+1),MAX(0,Horaires356715[[#This Row],[PNP Fin corrigée]]-(1+deb_dimJF)),0))*24</f>
        <v>0</v>
      </c>
    </row>
    <row r="32" spans="1:19" ht="14.5" customHeight="1" x14ac:dyDescent="0.35">
      <c r="A32" s="5"/>
      <c r="B32" s="1"/>
      <c r="C32" s="2"/>
      <c r="D32" s="2"/>
      <c r="E32" s="3"/>
      <c r="F32" s="3"/>
      <c r="G32" s="3"/>
      <c r="H32" s="3"/>
      <c r="I32" s="51">
        <f>0.1*(Horaires356715[[#This Row],[Heures de nuit]]+Horaires356715[[#This Row],[heures jour dimanche]]+Horaires356715[[#This Row],[heures jour fériés]])</f>
        <v>0</v>
      </c>
      <c r="J32" s="52">
        <f>(MOD(Horaires356715[[#This Row],[Fin]]-Horaires356715[[#This Row],[début]],1)-MOD(Horaires356715[[#This Row],[PNP Fin]]-Horaires356715[[#This Row],[PNP Début]],1))*24</f>
        <v>0</v>
      </c>
      <c r="K32" s="53">
        <f>IF(Horaires356715[[#This Row],[PNP Début]]=0,0,IF(Horaires356715[[#This Row],[PNP Début]]&lt;Horaires356715[[#This Row],[début]],1,0)+Horaires356715[[#This Row],[PNP Début]])</f>
        <v>0</v>
      </c>
      <c r="L32" s="54">
        <f>IF(Horaires356715[[#This Row],[PNP Fin]]=0,0,IF(Horaires356715[[#This Row],[PNP Fin]]&lt;Horaires356715[[#This Row],[début]],1,0)+Horaires356715[[#This Row],[PNP Fin]])</f>
        <v>0</v>
      </c>
      <c r="M32" s="54">
        <f>IF(Horaires356715[[#This Row],[Fin]]&lt;Horaires356715[[#This Row],[début]],1,0)+Horaires356715[[#This Row],[Fin]]</f>
        <v>0</v>
      </c>
      <c r="N32" s="35">
        <f>IF(Horaires356715[[#This Row],[Fin]]&lt;Horaires356715[[#This Row],[début]],MAX(0,MIN(Horaires356715[[#This Row],[Fin corrigée si nuit]],fin_nuit)-MAX(Horaires356715[[#This Row],[début]],deb_nuit))*24,(MAX(deb_nuit,Horaires356715[[#This Row],[Fin]])-MAX(deb_nuit,Horaires356715[[#This Row],[début]])+MAX(MIN(fin_nuit-1,Horaires356715[[#This Row],[Fin]])-MIN(fin_nuit-1,Horaires356715[[#This Row],[début]]),0))*24)</f>
        <v>0</v>
      </c>
      <c r="O32" s="55">
        <f>(MAX(0,MIN(Horaires356715[[#This Row],[Fin corrigée si nuit]],fin_nuit)-MAX(Horaires356715[[#This Row],[début]],deb_nuit))-IF(Horaires356715[[#This Row],[PNP Début]]=0,0,MIN(Horaires356715[[#This Row],[PNP Fin corrigée]],fin_nuit)-MAX(Horaires356715[[#This Row],[PNP Début corrigé]],deb_nuit)))*24</f>
        <v>0</v>
      </c>
      <c r="P32" s="55">
        <f>(IF(WEEKDAY(Horaires356715[[#This Row],[Date]],2)=7,MAX(0,MIN(fin_dimJF,Horaires356715[[#This Row],[Fin corrigée si nuit]])-MAX(deb_dimJF,Horaires356715[[#This Row],[début]])),0)+IF(WEEKDAY(Horaires356715[[#This Row],[Date]],2)=6,MAX(0,Horaires356715[[#This Row],[Fin corrigée si nuit]]-(1+deb_dimJF)),0))*24</f>
        <v>0</v>
      </c>
      <c r="Q32" s="55">
        <f>(IF(WEEKDAY(Horaires356715[[#This Row],[Date]],2)=7,MAX(0,MIN(fin_dimJF,Horaires356715[[#This Row],[Fin corrigée si nuit]])-MAX(deb_dimJF,Horaires356715[[#This Row],[début]])),0)+IF(WEEKDAY(Horaires356715[[#This Row],[Date]],2)=6,MAX(0,Horaires356715[[#This Row],[Fin corrigée si nuit]]-(1+deb_dimJF)),0))*24-
(IF(WEEKDAY(Horaires356715[[#This Row],[Date]],2)=7,MAX(0,MIN(fin_dimJF,Horaires356715[[#This Row],[PNP Fin corrigée]])-MAX(deb_dimJF,Horaires356715[[#This Row],[PNP Début corrigé]])),0)+IF(WEEKDAY(Horaires356715[[#This Row],[Date]],2)=6,MAX(0,Horaires356715[[#This Row],[PNP Fin corrigée]]-(1+deb_dimJF)),0))*24</f>
        <v>0</v>
      </c>
      <c r="R32" s="55">
        <f>(IF(COUNTIF(JF,Horaires356715[[#This Row],[Date]]),MAX(0,MIN(fin_dimJF,Horaires356715[[#This Row],[Fin corrigée si nuit]])-MAX(deb_dimJF,Horaires356715[[#This Row],[début]])),0)+IF(COUNTIF(JF,Horaires356715[[#This Row],[Date]]+1),MAX(0,Horaires356715[[#This Row],[Fin corrigée si nuit]]-(1+deb_dimJF)),0))*24</f>
        <v>0</v>
      </c>
      <c r="S32" s="55">
        <f>(IF(COUNTIF(JF,Horaires356715[[#This Row],[Date]]),MAX(0,MIN(fin_dimJF,Horaires356715[[#This Row],[Fin corrigée si nuit]])-MAX(deb_dimJF,Horaires356715[[#This Row],[début]])),0)+IF(COUNTIF(JF,Horaires356715[[#This Row],[Date]]+1),MAX(0,Horaires356715[[#This Row],[Fin corrigée si nuit]]-(1+deb_dimJF)),0))*24-
(IF(COUNTIF(JF,Horaires356715[[#This Row],[Date]]),MAX(0,MIN(fin_dimJF,Horaires356715[[#This Row],[PNP Fin corrigée]])-MAX(deb_dimJF,Horaires356715[[#This Row],[PNP Début corrigé]])),0)+IF(COUNTIF(JF,Horaires356715[[#This Row],[Date]]+1),MAX(0,Horaires356715[[#This Row],[PNP Fin corrigée]]-(1+deb_dimJF)),0))*24</f>
        <v>0</v>
      </c>
    </row>
    <row r="33" spans="1:19" x14ac:dyDescent="0.35">
      <c r="A33" s="5"/>
      <c r="B33" s="1"/>
      <c r="C33" s="2"/>
      <c r="D33" s="2"/>
      <c r="E33" s="3"/>
      <c r="F33" s="3"/>
      <c r="G33" s="3"/>
      <c r="H33" s="3"/>
      <c r="I33" s="51">
        <f>0.1*(Horaires356715[[#This Row],[Heures de nuit]]+Horaires356715[[#This Row],[heures jour dimanche]]+Horaires356715[[#This Row],[heures jour fériés]])</f>
        <v>0</v>
      </c>
      <c r="J33" s="52">
        <f>(MOD(Horaires356715[[#This Row],[Fin]]-Horaires356715[[#This Row],[début]],1)-MOD(Horaires356715[[#This Row],[PNP Fin]]-Horaires356715[[#This Row],[PNP Début]],1))*24</f>
        <v>0</v>
      </c>
      <c r="K33" s="53">
        <f>IF(Horaires356715[[#This Row],[PNP Début]]=0,0,IF(Horaires356715[[#This Row],[PNP Début]]&lt;Horaires356715[[#This Row],[début]],1,0)+Horaires356715[[#This Row],[PNP Début]])</f>
        <v>0</v>
      </c>
      <c r="L33" s="54">
        <f>IF(Horaires356715[[#This Row],[PNP Fin]]=0,0,IF(Horaires356715[[#This Row],[PNP Fin]]&lt;Horaires356715[[#This Row],[début]],1,0)+Horaires356715[[#This Row],[PNP Fin]])</f>
        <v>0</v>
      </c>
      <c r="M33" s="54">
        <f>IF(Horaires356715[[#This Row],[Fin]]&lt;Horaires356715[[#This Row],[début]],1,0)+Horaires356715[[#This Row],[Fin]]</f>
        <v>0</v>
      </c>
      <c r="N33" s="35">
        <f>IF(Horaires356715[[#This Row],[Fin]]&lt;Horaires356715[[#This Row],[début]],MAX(0,MIN(Horaires356715[[#This Row],[Fin corrigée si nuit]],fin_nuit)-MAX(Horaires356715[[#This Row],[début]],deb_nuit))*24,(MAX(deb_nuit,Horaires356715[[#This Row],[Fin]])-MAX(deb_nuit,Horaires356715[[#This Row],[début]])+MAX(MIN(fin_nuit-1,Horaires356715[[#This Row],[Fin]])-MIN(fin_nuit-1,Horaires356715[[#This Row],[début]]),0))*24)</f>
        <v>0</v>
      </c>
      <c r="O33" s="55">
        <f>(MAX(0,MIN(Horaires356715[[#This Row],[Fin corrigée si nuit]],fin_nuit)-MAX(Horaires356715[[#This Row],[début]],deb_nuit))-IF(Horaires356715[[#This Row],[PNP Début]]=0,0,MIN(Horaires356715[[#This Row],[PNP Fin corrigée]],fin_nuit)-MAX(Horaires356715[[#This Row],[PNP Début corrigé]],deb_nuit)))*24</f>
        <v>0</v>
      </c>
      <c r="P33" s="55">
        <f>(IF(WEEKDAY(Horaires356715[[#This Row],[Date]],2)=7,MAX(0,MIN(fin_dimJF,Horaires356715[[#This Row],[Fin corrigée si nuit]])-MAX(deb_dimJF,Horaires356715[[#This Row],[début]])),0)+IF(WEEKDAY(Horaires356715[[#This Row],[Date]],2)=6,MAX(0,Horaires356715[[#This Row],[Fin corrigée si nuit]]-(1+deb_dimJF)),0))*24</f>
        <v>0</v>
      </c>
      <c r="Q33" s="55">
        <f>(IF(WEEKDAY(Horaires356715[[#This Row],[Date]],2)=7,MAX(0,MIN(fin_dimJF,Horaires356715[[#This Row],[Fin corrigée si nuit]])-MAX(deb_dimJF,Horaires356715[[#This Row],[début]])),0)+IF(WEEKDAY(Horaires356715[[#This Row],[Date]],2)=6,MAX(0,Horaires356715[[#This Row],[Fin corrigée si nuit]]-(1+deb_dimJF)),0))*24-
(IF(WEEKDAY(Horaires356715[[#This Row],[Date]],2)=7,MAX(0,MIN(fin_dimJF,Horaires356715[[#This Row],[PNP Fin corrigée]])-MAX(deb_dimJF,Horaires356715[[#This Row],[PNP Début corrigé]])),0)+IF(WEEKDAY(Horaires356715[[#This Row],[Date]],2)=6,MAX(0,Horaires356715[[#This Row],[PNP Fin corrigée]]-(1+deb_dimJF)),0))*24</f>
        <v>0</v>
      </c>
      <c r="R33" s="55">
        <f>(IF(COUNTIF(JF,Horaires356715[[#This Row],[Date]]),MAX(0,MIN(fin_dimJF,Horaires356715[[#This Row],[Fin corrigée si nuit]])-MAX(deb_dimJF,Horaires356715[[#This Row],[début]])),0)+IF(COUNTIF(JF,Horaires356715[[#This Row],[Date]]+1),MAX(0,Horaires356715[[#This Row],[Fin corrigée si nuit]]-(1+deb_dimJF)),0))*24</f>
        <v>0</v>
      </c>
      <c r="S33" s="55">
        <f>(IF(COUNTIF(JF,Horaires356715[[#This Row],[Date]]),MAX(0,MIN(fin_dimJF,Horaires356715[[#This Row],[Fin corrigée si nuit]])-MAX(deb_dimJF,Horaires356715[[#This Row],[début]])),0)+IF(COUNTIF(JF,Horaires356715[[#This Row],[Date]]+1),MAX(0,Horaires356715[[#This Row],[Fin corrigée si nuit]]-(1+deb_dimJF)),0))*24-
(IF(COUNTIF(JF,Horaires356715[[#This Row],[Date]]),MAX(0,MIN(fin_dimJF,Horaires356715[[#This Row],[PNP Fin corrigée]])-MAX(deb_dimJF,Horaires356715[[#This Row],[PNP Début corrigé]])),0)+IF(COUNTIF(JF,Horaires356715[[#This Row],[Date]]+1),MAX(0,Horaires356715[[#This Row],[PNP Fin corrigée]]-(1+deb_dimJF)),0))*24</f>
        <v>0</v>
      </c>
    </row>
    <row r="34" spans="1:19" x14ac:dyDescent="0.35">
      <c r="A34" s="5"/>
      <c r="B34" s="1"/>
      <c r="C34" s="2"/>
      <c r="D34" s="2"/>
      <c r="E34" s="3"/>
      <c r="F34" s="3"/>
      <c r="G34" s="3"/>
      <c r="H34" s="3"/>
      <c r="I34" s="51">
        <f>0.1*(Horaires356715[[#This Row],[Heures de nuit]]+Horaires356715[[#This Row],[heures jour dimanche]]+Horaires356715[[#This Row],[heures jour fériés]])</f>
        <v>0</v>
      </c>
      <c r="J34" s="52">
        <f>(MOD(Horaires356715[[#This Row],[Fin]]-Horaires356715[[#This Row],[début]],1)-MOD(Horaires356715[[#This Row],[PNP Fin]]-Horaires356715[[#This Row],[PNP Début]],1))*24</f>
        <v>0</v>
      </c>
      <c r="K34" s="53">
        <f>IF(Horaires356715[[#This Row],[PNP Début]]=0,0,IF(Horaires356715[[#This Row],[PNP Début]]&lt;Horaires356715[[#This Row],[début]],1,0)+Horaires356715[[#This Row],[PNP Début]])</f>
        <v>0</v>
      </c>
      <c r="L34" s="54">
        <f>IF(Horaires356715[[#This Row],[PNP Fin]]=0,0,IF(Horaires356715[[#This Row],[PNP Fin]]&lt;Horaires356715[[#This Row],[début]],1,0)+Horaires356715[[#This Row],[PNP Fin]])</f>
        <v>0</v>
      </c>
      <c r="M34" s="54">
        <f>IF(Horaires356715[[#This Row],[Fin]]&lt;Horaires356715[[#This Row],[début]],1,0)+Horaires356715[[#This Row],[Fin]]</f>
        <v>0</v>
      </c>
      <c r="N34" s="35">
        <f>IF(Horaires356715[[#This Row],[Fin]]&lt;Horaires356715[[#This Row],[début]],MAX(0,MIN(Horaires356715[[#This Row],[Fin corrigée si nuit]],fin_nuit)-MAX(Horaires356715[[#This Row],[début]],deb_nuit))*24,(MAX(deb_nuit,Horaires356715[[#This Row],[Fin]])-MAX(deb_nuit,Horaires356715[[#This Row],[début]])+MAX(MIN(fin_nuit-1,Horaires356715[[#This Row],[Fin]])-MIN(fin_nuit-1,Horaires356715[[#This Row],[début]]),0))*24)</f>
        <v>0</v>
      </c>
      <c r="O34" s="55">
        <f>(MAX(0,MIN(Horaires356715[[#This Row],[Fin corrigée si nuit]],fin_nuit)-MAX(Horaires356715[[#This Row],[début]],deb_nuit))-IF(Horaires356715[[#This Row],[PNP Début]]=0,0,MIN(Horaires356715[[#This Row],[PNP Fin corrigée]],fin_nuit)-MAX(Horaires356715[[#This Row],[PNP Début corrigé]],deb_nuit)))*24</f>
        <v>0</v>
      </c>
      <c r="P34" s="55">
        <f>(IF(WEEKDAY(Horaires356715[[#This Row],[Date]],2)=7,MAX(0,MIN(fin_dimJF,Horaires356715[[#This Row],[Fin corrigée si nuit]])-MAX(deb_dimJF,Horaires356715[[#This Row],[début]])),0)+IF(WEEKDAY(Horaires356715[[#This Row],[Date]],2)=6,MAX(0,Horaires356715[[#This Row],[Fin corrigée si nuit]]-(1+deb_dimJF)),0))*24</f>
        <v>0</v>
      </c>
      <c r="Q34" s="55">
        <f>(IF(WEEKDAY(Horaires356715[[#This Row],[Date]],2)=7,MAX(0,MIN(fin_dimJF,Horaires356715[[#This Row],[Fin corrigée si nuit]])-MAX(deb_dimJF,Horaires356715[[#This Row],[début]])),0)+IF(WEEKDAY(Horaires356715[[#This Row],[Date]],2)=6,MAX(0,Horaires356715[[#This Row],[Fin corrigée si nuit]]-(1+deb_dimJF)),0))*24-
(IF(WEEKDAY(Horaires356715[[#This Row],[Date]],2)=7,MAX(0,MIN(fin_dimJF,Horaires356715[[#This Row],[PNP Fin corrigée]])-MAX(deb_dimJF,Horaires356715[[#This Row],[PNP Début corrigé]])),0)+IF(WEEKDAY(Horaires356715[[#This Row],[Date]],2)=6,MAX(0,Horaires356715[[#This Row],[PNP Fin corrigée]]-(1+deb_dimJF)),0))*24</f>
        <v>0</v>
      </c>
      <c r="R34" s="55">
        <f>(IF(COUNTIF(JF,Horaires356715[[#This Row],[Date]]),MAX(0,MIN(fin_dimJF,Horaires356715[[#This Row],[Fin corrigée si nuit]])-MAX(deb_dimJF,Horaires356715[[#This Row],[début]])),0)+IF(COUNTIF(JF,Horaires356715[[#This Row],[Date]]+1),MAX(0,Horaires356715[[#This Row],[Fin corrigée si nuit]]-(1+deb_dimJF)),0))*24</f>
        <v>0</v>
      </c>
      <c r="S34" s="55">
        <f>(IF(COUNTIF(JF,Horaires356715[[#This Row],[Date]]),MAX(0,MIN(fin_dimJF,Horaires356715[[#This Row],[Fin corrigée si nuit]])-MAX(deb_dimJF,Horaires356715[[#This Row],[début]])),0)+IF(COUNTIF(JF,Horaires356715[[#This Row],[Date]]+1),MAX(0,Horaires356715[[#This Row],[Fin corrigée si nuit]]-(1+deb_dimJF)),0))*24-
(IF(COUNTIF(JF,Horaires356715[[#This Row],[Date]]),MAX(0,MIN(fin_dimJF,Horaires356715[[#This Row],[PNP Fin corrigée]])-MAX(deb_dimJF,Horaires356715[[#This Row],[PNP Début corrigé]])),0)+IF(COUNTIF(JF,Horaires356715[[#This Row],[Date]]+1),MAX(0,Horaires356715[[#This Row],[PNP Fin corrigée]]-(1+deb_dimJF)),0))*24</f>
        <v>0</v>
      </c>
    </row>
    <row r="35" spans="1:19" x14ac:dyDescent="0.35">
      <c r="A35" s="5"/>
      <c r="B35" s="1"/>
      <c r="C35" s="2"/>
      <c r="D35" s="2"/>
      <c r="E35" s="3"/>
      <c r="F35" s="3"/>
      <c r="G35" s="3"/>
      <c r="H35" s="3"/>
      <c r="I35" s="51">
        <f>0.1*(Horaires356715[[#This Row],[Heures de nuit]]+Horaires356715[[#This Row],[heures jour dimanche]]+Horaires356715[[#This Row],[heures jour fériés]])</f>
        <v>0</v>
      </c>
      <c r="J35" s="52">
        <f>(MOD(Horaires356715[[#This Row],[Fin]]-Horaires356715[[#This Row],[début]],1)-MOD(Horaires356715[[#This Row],[PNP Fin]]-Horaires356715[[#This Row],[PNP Début]],1))*24</f>
        <v>0</v>
      </c>
      <c r="K35" s="53">
        <f>IF(Horaires356715[[#This Row],[PNP Début]]=0,0,IF(Horaires356715[[#This Row],[PNP Début]]&lt;Horaires356715[[#This Row],[début]],1,0)+Horaires356715[[#This Row],[PNP Début]])</f>
        <v>0</v>
      </c>
      <c r="L35" s="54">
        <f>IF(Horaires356715[[#This Row],[PNP Fin]]=0,0,IF(Horaires356715[[#This Row],[PNP Fin]]&lt;Horaires356715[[#This Row],[début]],1,0)+Horaires356715[[#This Row],[PNP Fin]])</f>
        <v>0</v>
      </c>
      <c r="M35" s="54">
        <f>IF(Horaires356715[[#This Row],[Fin]]&lt;Horaires356715[[#This Row],[début]],1,0)+Horaires356715[[#This Row],[Fin]]</f>
        <v>0</v>
      </c>
      <c r="N35" s="35">
        <f>IF(Horaires356715[[#This Row],[Fin]]&lt;Horaires356715[[#This Row],[début]],MAX(0,MIN(Horaires356715[[#This Row],[Fin corrigée si nuit]],fin_nuit)-MAX(Horaires356715[[#This Row],[début]],deb_nuit))*24,(MAX(deb_nuit,Horaires356715[[#This Row],[Fin]])-MAX(deb_nuit,Horaires356715[[#This Row],[début]])+MAX(MIN(fin_nuit-1,Horaires356715[[#This Row],[Fin]])-MIN(fin_nuit-1,Horaires356715[[#This Row],[début]]),0))*24)</f>
        <v>0</v>
      </c>
      <c r="O35" s="55">
        <f>(MAX(0,MIN(Horaires356715[[#This Row],[Fin corrigée si nuit]],fin_nuit)-MAX(Horaires356715[[#This Row],[début]],deb_nuit))-IF(Horaires356715[[#This Row],[PNP Début]]=0,0,MIN(Horaires356715[[#This Row],[PNP Fin corrigée]],fin_nuit)-MAX(Horaires356715[[#This Row],[PNP Début corrigé]],deb_nuit)))*24</f>
        <v>0</v>
      </c>
      <c r="P35" s="55">
        <f>(IF(WEEKDAY(Horaires356715[[#This Row],[Date]],2)=7,MAX(0,MIN(fin_dimJF,Horaires356715[[#This Row],[Fin corrigée si nuit]])-MAX(deb_dimJF,Horaires356715[[#This Row],[début]])),0)+IF(WEEKDAY(Horaires356715[[#This Row],[Date]],2)=6,MAX(0,Horaires356715[[#This Row],[Fin corrigée si nuit]]-(1+deb_dimJF)),0))*24</f>
        <v>0</v>
      </c>
      <c r="Q35" s="55">
        <f>(IF(WEEKDAY(Horaires356715[[#This Row],[Date]],2)=7,MAX(0,MIN(fin_dimJF,Horaires356715[[#This Row],[Fin corrigée si nuit]])-MAX(deb_dimJF,Horaires356715[[#This Row],[début]])),0)+IF(WEEKDAY(Horaires356715[[#This Row],[Date]],2)=6,MAX(0,Horaires356715[[#This Row],[Fin corrigée si nuit]]-(1+deb_dimJF)),0))*24-
(IF(WEEKDAY(Horaires356715[[#This Row],[Date]],2)=7,MAX(0,MIN(fin_dimJF,Horaires356715[[#This Row],[PNP Fin corrigée]])-MAX(deb_dimJF,Horaires356715[[#This Row],[PNP Début corrigé]])),0)+IF(WEEKDAY(Horaires356715[[#This Row],[Date]],2)=6,MAX(0,Horaires356715[[#This Row],[PNP Fin corrigée]]-(1+deb_dimJF)),0))*24</f>
        <v>0</v>
      </c>
      <c r="R35" s="55">
        <f>(IF(COUNTIF(JF,Horaires356715[[#This Row],[Date]]),MAX(0,MIN(fin_dimJF,Horaires356715[[#This Row],[Fin corrigée si nuit]])-MAX(deb_dimJF,Horaires356715[[#This Row],[début]])),0)+IF(COUNTIF(JF,Horaires356715[[#This Row],[Date]]+1),MAX(0,Horaires356715[[#This Row],[Fin corrigée si nuit]]-(1+deb_dimJF)),0))*24</f>
        <v>0</v>
      </c>
      <c r="S35" s="55">
        <f>(IF(COUNTIF(JF,Horaires356715[[#This Row],[Date]]),MAX(0,MIN(fin_dimJF,Horaires356715[[#This Row],[Fin corrigée si nuit]])-MAX(deb_dimJF,Horaires356715[[#This Row],[début]])),0)+IF(COUNTIF(JF,Horaires356715[[#This Row],[Date]]+1),MAX(0,Horaires356715[[#This Row],[Fin corrigée si nuit]]-(1+deb_dimJF)),0))*24-
(IF(COUNTIF(JF,Horaires356715[[#This Row],[Date]]),MAX(0,MIN(fin_dimJF,Horaires356715[[#This Row],[PNP Fin corrigée]])-MAX(deb_dimJF,Horaires356715[[#This Row],[PNP Début corrigé]])),0)+IF(COUNTIF(JF,Horaires356715[[#This Row],[Date]]+1),MAX(0,Horaires356715[[#This Row],[PNP Fin corrigée]]-(1+deb_dimJF)),0))*24</f>
        <v>0</v>
      </c>
    </row>
    <row r="36" spans="1:19" x14ac:dyDescent="0.35">
      <c r="A36" s="5"/>
      <c r="B36" s="1"/>
      <c r="C36" s="2"/>
      <c r="D36" s="2"/>
      <c r="E36" s="3"/>
      <c r="F36" s="3"/>
      <c r="G36" s="3"/>
      <c r="H36" s="3"/>
      <c r="I36" s="51">
        <f>0.1*(Horaires356715[[#This Row],[Heures de nuit]]+Horaires356715[[#This Row],[heures jour dimanche]]+Horaires356715[[#This Row],[heures jour fériés]])</f>
        <v>0</v>
      </c>
      <c r="J36" s="52">
        <f>(MOD(Horaires356715[[#This Row],[Fin]]-Horaires356715[[#This Row],[début]],1)-MOD(Horaires356715[[#This Row],[PNP Fin]]-Horaires356715[[#This Row],[PNP Début]],1))*24</f>
        <v>0</v>
      </c>
      <c r="K36" s="53">
        <f>IF(Horaires356715[[#This Row],[PNP Début]]=0,0,IF(Horaires356715[[#This Row],[PNP Début]]&lt;Horaires356715[[#This Row],[début]],1,0)+Horaires356715[[#This Row],[PNP Début]])</f>
        <v>0</v>
      </c>
      <c r="L36" s="54">
        <f>IF(Horaires356715[[#This Row],[PNP Fin]]=0,0,IF(Horaires356715[[#This Row],[PNP Fin]]&lt;Horaires356715[[#This Row],[début]],1,0)+Horaires356715[[#This Row],[PNP Fin]])</f>
        <v>0</v>
      </c>
      <c r="M36" s="54">
        <f>IF(Horaires356715[[#This Row],[Fin]]&lt;Horaires356715[[#This Row],[début]],1,0)+Horaires356715[[#This Row],[Fin]]</f>
        <v>0</v>
      </c>
      <c r="N36" s="35">
        <f>IF(Horaires356715[[#This Row],[Fin]]&lt;Horaires356715[[#This Row],[début]],MAX(0,MIN(Horaires356715[[#This Row],[Fin corrigée si nuit]],fin_nuit)-MAX(Horaires356715[[#This Row],[début]],deb_nuit))*24,(MAX(deb_nuit,Horaires356715[[#This Row],[Fin]])-MAX(deb_nuit,Horaires356715[[#This Row],[début]])+MAX(MIN(fin_nuit-1,Horaires356715[[#This Row],[Fin]])-MIN(fin_nuit-1,Horaires356715[[#This Row],[début]]),0))*24)</f>
        <v>0</v>
      </c>
      <c r="O36" s="55">
        <f>(MAX(0,MIN(Horaires356715[[#This Row],[Fin corrigée si nuit]],fin_nuit)-MAX(Horaires356715[[#This Row],[début]],deb_nuit))-IF(Horaires356715[[#This Row],[PNP Début]]=0,0,MIN(Horaires356715[[#This Row],[PNP Fin corrigée]],fin_nuit)-MAX(Horaires356715[[#This Row],[PNP Début corrigé]],deb_nuit)))*24</f>
        <v>0</v>
      </c>
      <c r="P36" s="55">
        <f>(IF(WEEKDAY(Horaires356715[[#This Row],[Date]],2)=7,MAX(0,MIN(fin_dimJF,Horaires356715[[#This Row],[Fin corrigée si nuit]])-MAX(deb_dimJF,Horaires356715[[#This Row],[début]])),0)+IF(WEEKDAY(Horaires356715[[#This Row],[Date]],2)=6,MAX(0,Horaires356715[[#This Row],[Fin corrigée si nuit]]-(1+deb_dimJF)),0))*24</f>
        <v>0</v>
      </c>
      <c r="Q36" s="55">
        <f>(IF(WEEKDAY(Horaires356715[[#This Row],[Date]],2)=7,MAX(0,MIN(fin_dimJF,Horaires356715[[#This Row],[Fin corrigée si nuit]])-MAX(deb_dimJF,Horaires356715[[#This Row],[début]])),0)+IF(WEEKDAY(Horaires356715[[#This Row],[Date]],2)=6,MAX(0,Horaires356715[[#This Row],[Fin corrigée si nuit]]-(1+deb_dimJF)),0))*24-
(IF(WEEKDAY(Horaires356715[[#This Row],[Date]],2)=7,MAX(0,MIN(fin_dimJF,Horaires356715[[#This Row],[PNP Fin corrigée]])-MAX(deb_dimJF,Horaires356715[[#This Row],[PNP Début corrigé]])),0)+IF(WEEKDAY(Horaires356715[[#This Row],[Date]],2)=6,MAX(0,Horaires356715[[#This Row],[PNP Fin corrigée]]-(1+deb_dimJF)),0))*24</f>
        <v>0</v>
      </c>
      <c r="R36" s="55">
        <f>(IF(COUNTIF(JF,Horaires356715[[#This Row],[Date]]),MAX(0,MIN(fin_dimJF,Horaires356715[[#This Row],[Fin corrigée si nuit]])-MAX(deb_dimJF,Horaires356715[[#This Row],[début]])),0)+IF(COUNTIF(JF,Horaires356715[[#This Row],[Date]]+1),MAX(0,Horaires356715[[#This Row],[Fin corrigée si nuit]]-(1+deb_dimJF)),0))*24</f>
        <v>0</v>
      </c>
      <c r="S36" s="55">
        <f>(IF(COUNTIF(JF,Horaires356715[[#This Row],[Date]]),MAX(0,MIN(fin_dimJF,Horaires356715[[#This Row],[Fin corrigée si nuit]])-MAX(deb_dimJF,Horaires356715[[#This Row],[début]])),0)+IF(COUNTIF(JF,Horaires356715[[#This Row],[Date]]+1),MAX(0,Horaires356715[[#This Row],[Fin corrigée si nuit]]-(1+deb_dimJF)),0))*24-
(IF(COUNTIF(JF,Horaires356715[[#This Row],[Date]]),MAX(0,MIN(fin_dimJF,Horaires356715[[#This Row],[PNP Fin corrigée]])-MAX(deb_dimJF,Horaires356715[[#This Row],[PNP Début corrigé]])),0)+IF(COUNTIF(JF,Horaires356715[[#This Row],[Date]]+1),MAX(0,Horaires356715[[#This Row],[PNP Fin corrigée]]-(1+deb_dimJF)),0))*24</f>
        <v>0</v>
      </c>
    </row>
    <row r="37" spans="1:19" x14ac:dyDescent="0.35">
      <c r="A37" s="5"/>
      <c r="B37" s="1"/>
      <c r="C37" s="2"/>
      <c r="D37" s="2"/>
      <c r="E37" s="3"/>
      <c r="F37" s="3"/>
      <c r="G37" s="3"/>
      <c r="H37" s="3"/>
      <c r="I37" s="51">
        <f>0.1*(Horaires356715[[#This Row],[Heures de nuit]]+Horaires356715[[#This Row],[heures jour dimanche]]+Horaires356715[[#This Row],[heures jour fériés]])</f>
        <v>0</v>
      </c>
      <c r="J37" s="52">
        <f>(MOD(Horaires356715[[#This Row],[Fin]]-Horaires356715[[#This Row],[début]],1)-MOD(Horaires356715[[#This Row],[PNP Fin]]-Horaires356715[[#This Row],[PNP Début]],1))*24</f>
        <v>0</v>
      </c>
      <c r="K37" s="53">
        <f>IF(Horaires356715[[#This Row],[PNP Début]]=0,0,IF(Horaires356715[[#This Row],[PNP Début]]&lt;Horaires356715[[#This Row],[début]],1,0)+Horaires356715[[#This Row],[PNP Début]])</f>
        <v>0</v>
      </c>
      <c r="L37" s="54">
        <f>IF(Horaires356715[[#This Row],[PNP Fin]]=0,0,IF(Horaires356715[[#This Row],[PNP Fin]]&lt;Horaires356715[[#This Row],[début]],1,0)+Horaires356715[[#This Row],[PNP Fin]])</f>
        <v>0</v>
      </c>
      <c r="M37" s="54">
        <f>IF(Horaires356715[[#This Row],[Fin]]&lt;Horaires356715[[#This Row],[début]],1,0)+Horaires356715[[#This Row],[Fin]]</f>
        <v>0</v>
      </c>
      <c r="N37" s="35">
        <f>IF(Horaires356715[[#This Row],[Fin]]&lt;Horaires356715[[#This Row],[début]],MAX(0,MIN(Horaires356715[[#This Row],[Fin corrigée si nuit]],fin_nuit)-MAX(Horaires356715[[#This Row],[début]],deb_nuit))*24,(MAX(deb_nuit,Horaires356715[[#This Row],[Fin]])-MAX(deb_nuit,Horaires356715[[#This Row],[début]])+MAX(MIN(fin_nuit-1,Horaires356715[[#This Row],[Fin]])-MIN(fin_nuit-1,Horaires356715[[#This Row],[début]]),0))*24)</f>
        <v>0</v>
      </c>
      <c r="O37" s="55">
        <f>(MAX(0,MIN(Horaires356715[[#This Row],[Fin corrigée si nuit]],fin_nuit)-MAX(Horaires356715[[#This Row],[début]],deb_nuit))-IF(Horaires356715[[#This Row],[PNP Début]]=0,0,MIN(Horaires356715[[#This Row],[PNP Fin corrigée]],fin_nuit)-MAX(Horaires356715[[#This Row],[PNP Début corrigé]],deb_nuit)))*24</f>
        <v>0</v>
      </c>
      <c r="P37" s="55">
        <f>(IF(WEEKDAY(Horaires356715[[#This Row],[Date]],2)=7,MAX(0,MIN(fin_dimJF,Horaires356715[[#This Row],[Fin corrigée si nuit]])-MAX(deb_dimJF,Horaires356715[[#This Row],[début]])),0)+IF(WEEKDAY(Horaires356715[[#This Row],[Date]],2)=6,MAX(0,Horaires356715[[#This Row],[Fin corrigée si nuit]]-(1+deb_dimJF)),0))*24</f>
        <v>0</v>
      </c>
      <c r="Q37" s="55">
        <f>(IF(WEEKDAY(Horaires356715[[#This Row],[Date]],2)=7,MAX(0,MIN(fin_dimJF,Horaires356715[[#This Row],[Fin corrigée si nuit]])-MAX(deb_dimJF,Horaires356715[[#This Row],[début]])),0)+IF(WEEKDAY(Horaires356715[[#This Row],[Date]],2)=6,MAX(0,Horaires356715[[#This Row],[Fin corrigée si nuit]]-(1+deb_dimJF)),0))*24-
(IF(WEEKDAY(Horaires356715[[#This Row],[Date]],2)=7,MAX(0,MIN(fin_dimJF,Horaires356715[[#This Row],[PNP Fin corrigée]])-MAX(deb_dimJF,Horaires356715[[#This Row],[PNP Début corrigé]])),0)+IF(WEEKDAY(Horaires356715[[#This Row],[Date]],2)=6,MAX(0,Horaires356715[[#This Row],[PNP Fin corrigée]]-(1+deb_dimJF)),0))*24</f>
        <v>0</v>
      </c>
      <c r="R37" s="55">
        <f>(IF(COUNTIF(JF,Horaires356715[[#This Row],[Date]]),MAX(0,MIN(fin_dimJF,Horaires356715[[#This Row],[Fin corrigée si nuit]])-MAX(deb_dimJF,Horaires356715[[#This Row],[début]])),0)+IF(COUNTIF(JF,Horaires356715[[#This Row],[Date]]+1),MAX(0,Horaires356715[[#This Row],[Fin corrigée si nuit]]-(1+deb_dimJF)),0))*24</f>
        <v>0</v>
      </c>
      <c r="S37" s="55">
        <f>(IF(COUNTIF(JF,Horaires356715[[#This Row],[Date]]),MAX(0,MIN(fin_dimJF,Horaires356715[[#This Row],[Fin corrigée si nuit]])-MAX(deb_dimJF,Horaires356715[[#This Row],[début]])),0)+IF(COUNTIF(JF,Horaires356715[[#This Row],[Date]]+1),MAX(0,Horaires356715[[#This Row],[Fin corrigée si nuit]]-(1+deb_dimJF)),0))*24-
(IF(COUNTIF(JF,Horaires356715[[#This Row],[Date]]),MAX(0,MIN(fin_dimJF,Horaires356715[[#This Row],[PNP Fin corrigée]])-MAX(deb_dimJF,Horaires356715[[#This Row],[PNP Début corrigé]])),0)+IF(COUNTIF(JF,Horaires356715[[#This Row],[Date]]+1),MAX(0,Horaires356715[[#This Row],[PNP Fin corrigée]]-(1+deb_dimJF)),0))*24</f>
        <v>0</v>
      </c>
    </row>
    <row r="38" spans="1:19" x14ac:dyDescent="0.35">
      <c r="A38" s="5"/>
      <c r="B38" s="1"/>
      <c r="C38" s="2"/>
      <c r="D38" s="2"/>
      <c r="E38" s="3"/>
      <c r="F38" s="3"/>
      <c r="G38" s="3"/>
      <c r="H38" s="3"/>
      <c r="I38" s="51">
        <f>0.1*(Horaires356715[[#This Row],[Heures de nuit]]+Horaires356715[[#This Row],[heures jour dimanche]]+Horaires356715[[#This Row],[heures jour fériés]])</f>
        <v>0</v>
      </c>
      <c r="J38" s="52">
        <f>(MOD(Horaires356715[[#This Row],[Fin]]-Horaires356715[[#This Row],[début]],1)-MOD(Horaires356715[[#This Row],[PNP Fin]]-Horaires356715[[#This Row],[PNP Début]],1))*24</f>
        <v>0</v>
      </c>
      <c r="K38" s="53">
        <f>IF(Horaires356715[[#This Row],[PNP Début]]=0,0,IF(Horaires356715[[#This Row],[PNP Début]]&lt;Horaires356715[[#This Row],[début]],1,0)+Horaires356715[[#This Row],[PNP Début]])</f>
        <v>0</v>
      </c>
      <c r="L38" s="54">
        <f>IF(Horaires356715[[#This Row],[PNP Fin]]=0,0,IF(Horaires356715[[#This Row],[PNP Fin]]&lt;Horaires356715[[#This Row],[début]],1,0)+Horaires356715[[#This Row],[PNP Fin]])</f>
        <v>0</v>
      </c>
      <c r="M38" s="54">
        <f>IF(Horaires356715[[#This Row],[Fin]]&lt;Horaires356715[[#This Row],[début]],1,0)+Horaires356715[[#This Row],[Fin]]</f>
        <v>0</v>
      </c>
      <c r="N38" s="35">
        <f>IF(Horaires356715[[#This Row],[Fin]]&lt;Horaires356715[[#This Row],[début]],MAX(0,MIN(Horaires356715[[#This Row],[Fin corrigée si nuit]],fin_nuit)-MAX(Horaires356715[[#This Row],[début]],deb_nuit))*24,(MAX(deb_nuit,Horaires356715[[#This Row],[Fin]])-MAX(deb_nuit,Horaires356715[[#This Row],[début]])+MAX(MIN(fin_nuit-1,Horaires356715[[#This Row],[Fin]])-MIN(fin_nuit-1,Horaires356715[[#This Row],[début]]),0))*24)</f>
        <v>0</v>
      </c>
      <c r="O38" s="55">
        <f>(MAX(0,MIN(Horaires356715[[#This Row],[Fin corrigée si nuit]],fin_nuit)-MAX(Horaires356715[[#This Row],[début]],deb_nuit))-IF(Horaires356715[[#This Row],[PNP Début]]=0,0,MIN(Horaires356715[[#This Row],[PNP Fin corrigée]],fin_nuit)-MAX(Horaires356715[[#This Row],[PNP Début corrigé]],deb_nuit)))*24</f>
        <v>0</v>
      </c>
      <c r="P38" s="55">
        <f>(IF(WEEKDAY(Horaires356715[[#This Row],[Date]],2)=7,MAX(0,MIN(fin_dimJF,Horaires356715[[#This Row],[Fin corrigée si nuit]])-MAX(deb_dimJF,Horaires356715[[#This Row],[début]])),0)+IF(WEEKDAY(Horaires356715[[#This Row],[Date]],2)=6,MAX(0,Horaires356715[[#This Row],[Fin corrigée si nuit]]-(1+deb_dimJF)),0))*24</f>
        <v>0</v>
      </c>
      <c r="Q38" s="55">
        <f>(IF(WEEKDAY(Horaires356715[[#This Row],[Date]],2)=7,MAX(0,MIN(fin_dimJF,Horaires356715[[#This Row],[Fin corrigée si nuit]])-MAX(deb_dimJF,Horaires356715[[#This Row],[début]])),0)+IF(WEEKDAY(Horaires356715[[#This Row],[Date]],2)=6,MAX(0,Horaires356715[[#This Row],[Fin corrigée si nuit]]-(1+deb_dimJF)),0))*24-
(IF(WEEKDAY(Horaires356715[[#This Row],[Date]],2)=7,MAX(0,MIN(fin_dimJF,Horaires356715[[#This Row],[PNP Fin corrigée]])-MAX(deb_dimJF,Horaires356715[[#This Row],[PNP Début corrigé]])),0)+IF(WEEKDAY(Horaires356715[[#This Row],[Date]],2)=6,MAX(0,Horaires356715[[#This Row],[PNP Fin corrigée]]-(1+deb_dimJF)),0))*24</f>
        <v>0</v>
      </c>
      <c r="R38" s="55">
        <f>(IF(COUNTIF(JF,Horaires356715[[#This Row],[Date]]),MAX(0,MIN(fin_dimJF,Horaires356715[[#This Row],[Fin corrigée si nuit]])-MAX(deb_dimJF,Horaires356715[[#This Row],[début]])),0)+IF(COUNTIF(JF,Horaires356715[[#This Row],[Date]]+1),MAX(0,Horaires356715[[#This Row],[Fin corrigée si nuit]]-(1+deb_dimJF)),0))*24</f>
        <v>0</v>
      </c>
      <c r="S38" s="55">
        <f>(IF(COUNTIF(JF,Horaires356715[[#This Row],[Date]]),MAX(0,MIN(fin_dimJF,Horaires356715[[#This Row],[Fin corrigée si nuit]])-MAX(deb_dimJF,Horaires356715[[#This Row],[début]])),0)+IF(COUNTIF(JF,Horaires356715[[#This Row],[Date]]+1),MAX(0,Horaires356715[[#This Row],[Fin corrigée si nuit]]-(1+deb_dimJF)),0))*24-
(IF(COUNTIF(JF,Horaires356715[[#This Row],[Date]]),MAX(0,MIN(fin_dimJF,Horaires356715[[#This Row],[PNP Fin corrigée]])-MAX(deb_dimJF,Horaires356715[[#This Row],[PNP Début corrigé]])),0)+IF(COUNTIF(JF,Horaires356715[[#This Row],[Date]]+1),MAX(0,Horaires356715[[#This Row],[PNP Fin corrigée]]-(1+deb_dimJF)),0))*24</f>
        <v>0</v>
      </c>
    </row>
    <row r="39" spans="1:19" x14ac:dyDescent="0.35">
      <c r="A39" s="5"/>
      <c r="B39" s="1"/>
      <c r="C39" s="2"/>
      <c r="D39" s="2"/>
      <c r="E39" s="3"/>
      <c r="F39" s="3"/>
      <c r="G39" s="3"/>
      <c r="H39" s="3"/>
      <c r="I39" s="51">
        <f>0.1*(Horaires356715[[#This Row],[Heures de nuit]]+Horaires356715[[#This Row],[heures jour dimanche]]+Horaires356715[[#This Row],[heures jour fériés]])</f>
        <v>0</v>
      </c>
      <c r="J39" s="52">
        <f>(MOD(Horaires356715[[#This Row],[Fin]]-Horaires356715[[#This Row],[début]],1)-MOD(Horaires356715[[#This Row],[PNP Fin]]-Horaires356715[[#This Row],[PNP Début]],1))*24</f>
        <v>0</v>
      </c>
      <c r="K39" s="53">
        <f>IF(Horaires356715[[#This Row],[PNP Début]]=0,0,IF(Horaires356715[[#This Row],[PNP Début]]&lt;Horaires356715[[#This Row],[début]],1,0)+Horaires356715[[#This Row],[PNP Début]])</f>
        <v>0</v>
      </c>
      <c r="L39" s="54">
        <f>IF(Horaires356715[[#This Row],[PNP Fin]]=0,0,IF(Horaires356715[[#This Row],[PNP Fin]]&lt;Horaires356715[[#This Row],[début]],1,0)+Horaires356715[[#This Row],[PNP Fin]])</f>
        <v>0</v>
      </c>
      <c r="M39" s="54">
        <f>IF(Horaires356715[[#This Row],[Fin]]&lt;Horaires356715[[#This Row],[début]],1,0)+Horaires356715[[#This Row],[Fin]]</f>
        <v>0</v>
      </c>
      <c r="N39" s="35">
        <f>IF(Horaires356715[[#This Row],[Fin]]&lt;Horaires356715[[#This Row],[début]],MAX(0,MIN(Horaires356715[[#This Row],[Fin corrigée si nuit]],fin_nuit)-MAX(Horaires356715[[#This Row],[début]],deb_nuit))*24,(MAX(deb_nuit,Horaires356715[[#This Row],[Fin]])-MAX(deb_nuit,Horaires356715[[#This Row],[début]])+MAX(MIN(fin_nuit-1,Horaires356715[[#This Row],[Fin]])-MIN(fin_nuit-1,Horaires356715[[#This Row],[début]]),0))*24)</f>
        <v>0</v>
      </c>
      <c r="O39" s="55">
        <f>(MAX(0,MIN(Horaires356715[[#This Row],[Fin corrigée si nuit]],fin_nuit)-MAX(Horaires356715[[#This Row],[début]],deb_nuit))-IF(Horaires356715[[#This Row],[PNP Début]]=0,0,MIN(Horaires356715[[#This Row],[PNP Fin corrigée]],fin_nuit)-MAX(Horaires356715[[#This Row],[PNP Début corrigé]],deb_nuit)))*24</f>
        <v>0</v>
      </c>
      <c r="P39" s="55">
        <f>(IF(WEEKDAY(Horaires356715[[#This Row],[Date]],2)=7,MAX(0,MIN(fin_dimJF,Horaires356715[[#This Row],[Fin corrigée si nuit]])-MAX(deb_dimJF,Horaires356715[[#This Row],[début]])),0)+IF(WEEKDAY(Horaires356715[[#This Row],[Date]],2)=6,MAX(0,Horaires356715[[#This Row],[Fin corrigée si nuit]]-(1+deb_dimJF)),0))*24</f>
        <v>0</v>
      </c>
      <c r="Q39" s="55">
        <f>(IF(WEEKDAY(Horaires356715[[#This Row],[Date]],2)=7,MAX(0,MIN(fin_dimJF,Horaires356715[[#This Row],[Fin corrigée si nuit]])-MAX(deb_dimJF,Horaires356715[[#This Row],[début]])),0)+IF(WEEKDAY(Horaires356715[[#This Row],[Date]],2)=6,MAX(0,Horaires356715[[#This Row],[Fin corrigée si nuit]]-(1+deb_dimJF)),0))*24-
(IF(WEEKDAY(Horaires356715[[#This Row],[Date]],2)=7,MAX(0,MIN(fin_dimJF,Horaires356715[[#This Row],[PNP Fin corrigée]])-MAX(deb_dimJF,Horaires356715[[#This Row],[PNP Début corrigé]])),0)+IF(WEEKDAY(Horaires356715[[#This Row],[Date]],2)=6,MAX(0,Horaires356715[[#This Row],[PNP Fin corrigée]]-(1+deb_dimJF)),0))*24</f>
        <v>0</v>
      </c>
      <c r="R39" s="55">
        <f>(IF(COUNTIF(JF,Horaires356715[[#This Row],[Date]]),MAX(0,MIN(fin_dimJF,Horaires356715[[#This Row],[Fin corrigée si nuit]])-MAX(deb_dimJF,Horaires356715[[#This Row],[début]])),0)+IF(COUNTIF(JF,Horaires356715[[#This Row],[Date]]+1),MAX(0,Horaires356715[[#This Row],[Fin corrigée si nuit]]-(1+deb_dimJF)),0))*24</f>
        <v>0</v>
      </c>
      <c r="S39" s="55">
        <f>(IF(COUNTIF(JF,Horaires356715[[#This Row],[Date]]),MAX(0,MIN(fin_dimJF,Horaires356715[[#This Row],[Fin corrigée si nuit]])-MAX(deb_dimJF,Horaires356715[[#This Row],[début]])),0)+IF(COUNTIF(JF,Horaires356715[[#This Row],[Date]]+1),MAX(0,Horaires356715[[#This Row],[Fin corrigée si nuit]]-(1+deb_dimJF)),0))*24-
(IF(COUNTIF(JF,Horaires356715[[#This Row],[Date]]),MAX(0,MIN(fin_dimJF,Horaires356715[[#This Row],[PNP Fin corrigée]])-MAX(deb_dimJF,Horaires356715[[#This Row],[PNP Début corrigé]])),0)+IF(COUNTIF(JF,Horaires356715[[#This Row],[Date]]+1),MAX(0,Horaires356715[[#This Row],[PNP Fin corrigée]]-(1+deb_dimJF)),0))*24</f>
        <v>0</v>
      </c>
    </row>
    <row r="40" spans="1:19" x14ac:dyDescent="0.35">
      <c r="A40" s="5"/>
      <c r="B40" s="1"/>
      <c r="C40" s="2"/>
      <c r="D40" s="2"/>
      <c r="E40" s="3"/>
      <c r="F40" s="3"/>
      <c r="G40" s="3"/>
      <c r="H40" s="3"/>
      <c r="I40" s="51">
        <f>0.1*(Horaires356715[[#This Row],[Heures de nuit]]+Horaires356715[[#This Row],[heures jour dimanche]]+Horaires356715[[#This Row],[heures jour fériés]])</f>
        <v>0</v>
      </c>
      <c r="J40" s="52">
        <f>(MOD(Horaires356715[[#This Row],[Fin]]-Horaires356715[[#This Row],[début]],1)-MOD(Horaires356715[[#This Row],[PNP Fin]]-Horaires356715[[#This Row],[PNP Début]],1))*24</f>
        <v>0</v>
      </c>
      <c r="K40" s="53">
        <f>IF(Horaires356715[[#This Row],[PNP Début]]=0,0,IF(Horaires356715[[#This Row],[PNP Début]]&lt;Horaires356715[[#This Row],[début]],1,0)+Horaires356715[[#This Row],[PNP Début]])</f>
        <v>0</v>
      </c>
      <c r="L40" s="54">
        <f>IF(Horaires356715[[#This Row],[PNP Fin]]=0,0,IF(Horaires356715[[#This Row],[PNP Fin]]&lt;Horaires356715[[#This Row],[début]],1,0)+Horaires356715[[#This Row],[PNP Fin]])</f>
        <v>0</v>
      </c>
      <c r="M40" s="54">
        <f>IF(Horaires356715[[#This Row],[Fin]]&lt;Horaires356715[[#This Row],[début]],1,0)+Horaires356715[[#This Row],[Fin]]</f>
        <v>0</v>
      </c>
      <c r="N40" s="35">
        <f>IF(Horaires356715[[#This Row],[Fin]]&lt;Horaires356715[[#This Row],[début]],MAX(0,MIN(Horaires356715[[#This Row],[Fin corrigée si nuit]],fin_nuit)-MAX(Horaires356715[[#This Row],[début]],deb_nuit))*24,(MAX(deb_nuit,Horaires356715[[#This Row],[Fin]])-MAX(deb_nuit,Horaires356715[[#This Row],[début]])+MAX(MIN(fin_nuit-1,Horaires356715[[#This Row],[Fin]])-MIN(fin_nuit-1,Horaires356715[[#This Row],[début]]),0))*24)</f>
        <v>0</v>
      </c>
      <c r="O40" s="55">
        <f>(MAX(0,MIN(Horaires356715[[#This Row],[Fin corrigée si nuit]],fin_nuit)-MAX(Horaires356715[[#This Row],[début]],deb_nuit))-IF(Horaires356715[[#This Row],[PNP Début]]=0,0,MIN(Horaires356715[[#This Row],[PNP Fin corrigée]],fin_nuit)-MAX(Horaires356715[[#This Row],[PNP Début corrigé]],deb_nuit)))*24</f>
        <v>0</v>
      </c>
      <c r="P40" s="55">
        <f>(IF(WEEKDAY(Horaires356715[[#This Row],[Date]],2)=7,MAX(0,MIN(fin_dimJF,Horaires356715[[#This Row],[Fin corrigée si nuit]])-MAX(deb_dimJF,Horaires356715[[#This Row],[début]])),0)+IF(WEEKDAY(Horaires356715[[#This Row],[Date]],2)=6,MAX(0,Horaires356715[[#This Row],[Fin corrigée si nuit]]-(1+deb_dimJF)),0))*24</f>
        <v>0</v>
      </c>
      <c r="Q40" s="55">
        <f>(IF(WEEKDAY(Horaires356715[[#This Row],[Date]],2)=7,MAX(0,MIN(fin_dimJF,Horaires356715[[#This Row],[Fin corrigée si nuit]])-MAX(deb_dimJF,Horaires356715[[#This Row],[début]])),0)+IF(WEEKDAY(Horaires356715[[#This Row],[Date]],2)=6,MAX(0,Horaires356715[[#This Row],[Fin corrigée si nuit]]-(1+deb_dimJF)),0))*24-
(IF(WEEKDAY(Horaires356715[[#This Row],[Date]],2)=7,MAX(0,MIN(fin_dimJF,Horaires356715[[#This Row],[PNP Fin corrigée]])-MAX(deb_dimJF,Horaires356715[[#This Row],[PNP Début corrigé]])),0)+IF(WEEKDAY(Horaires356715[[#This Row],[Date]],2)=6,MAX(0,Horaires356715[[#This Row],[PNP Fin corrigée]]-(1+deb_dimJF)),0))*24</f>
        <v>0</v>
      </c>
      <c r="R40" s="55">
        <f>(IF(COUNTIF(JF,Horaires356715[[#This Row],[Date]]),MAX(0,MIN(fin_dimJF,Horaires356715[[#This Row],[Fin corrigée si nuit]])-MAX(deb_dimJF,Horaires356715[[#This Row],[début]])),0)+IF(COUNTIF(JF,Horaires356715[[#This Row],[Date]]+1),MAX(0,Horaires356715[[#This Row],[Fin corrigée si nuit]]-(1+deb_dimJF)),0))*24</f>
        <v>0</v>
      </c>
      <c r="S40" s="55">
        <f>(IF(COUNTIF(JF,Horaires356715[[#This Row],[Date]]),MAX(0,MIN(fin_dimJF,Horaires356715[[#This Row],[Fin corrigée si nuit]])-MAX(deb_dimJF,Horaires356715[[#This Row],[début]])),0)+IF(COUNTIF(JF,Horaires356715[[#This Row],[Date]]+1),MAX(0,Horaires356715[[#This Row],[Fin corrigée si nuit]]-(1+deb_dimJF)),0))*24-
(IF(COUNTIF(JF,Horaires356715[[#This Row],[Date]]),MAX(0,MIN(fin_dimJF,Horaires356715[[#This Row],[PNP Fin corrigée]])-MAX(deb_dimJF,Horaires356715[[#This Row],[PNP Début corrigé]])),0)+IF(COUNTIF(JF,Horaires356715[[#This Row],[Date]]+1),MAX(0,Horaires356715[[#This Row],[PNP Fin corrigée]]-(1+deb_dimJF)),0))*24</f>
        <v>0</v>
      </c>
    </row>
    <row r="41" spans="1:19" x14ac:dyDescent="0.35">
      <c r="A41" s="5"/>
      <c r="B41" s="1"/>
      <c r="C41" s="2"/>
      <c r="D41" s="2"/>
      <c r="E41" s="3"/>
      <c r="F41" s="3"/>
      <c r="G41" s="3"/>
      <c r="H41" s="3"/>
      <c r="I41" s="51">
        <f>0.1*(Horaires356715[[#This Row],[Heures de nuit]]+Horaires356715[[#This Row],[heures jour dimanche]]+Horaires356715[[#This Row],[heures jour fériés]])</f>
        <v>0</v>
      </c>
      <c r="J41" s="52">
        <f>(MOD(Horaires356715[[#This Row],[Fin]]-Horaires356715[[#This Row],[début]],1)-MOD(Horaires356715[[#This Row],[PNP Fin]]-Horaires356715[[#This Row],[PNP Début]],1))*24</f>
        <v>0</v>
      </c>
      <c r="K41" s="53">
        <f>IF(Horaires356715[[#This Row],[PNP Début]]=0,0,IF(Horaires356715[[#This Row],[PNP Début]]&lt;Horaires356715[[#This Row],[début]],1,0)+Horaires356715[[#This Row],[PNP Début]])</f>
        <v>0</v>
      </c>
      <c r="L41" s="54">
        <f>IF(Horaires356715[[#This Row],[PNP Fin]]=0,0,IF(Horaires356715[[#This Row],[PNP Fin]]&lt;Horaires356715[[#This Row],[début]],1,0)+Horaires356715[[#This Row],[PNP Fin]])</f>
        <v>0</v>
      </c>
      <c r="M41" s="54">
        <f>IF(Horaires356715[[#This Row],[Fin]]&lt;Horaires356715[[#This Row],[début]],1,0)+Horaires356715[[#This Row],[Fin]]</f>
        <v>0</v>
      </c>
      <c r="N41" s="35">
        <f>IF(Horaires356715[[#This Row],[Fin]]&lt;Horaires356715[[#This Row],[début]],MAX(0,MIN(Horaires356715[[#This Row],[Fin corrigée si nuit]],fin_nuit)-MAX(Horaires356715[[#This Row],[début]],deb_nuit))*24,(MAX(deb_nuit,Horaires356715[[#This Row],[Fin]])-MAX(deb_nuit,Horaires356715[[#This Row],[début]])+MAX(MIN(fin_nuit-1,Horaires356715[[#This Row],[Fin]])-MIN(fin_nuit-1,Horaires356715[[#This Row],[début]]),0))*24)</f>
        <v>0</v>
      </c>
      <c r="O41" s="55">
        <f>(MAX(0,MIN(Horaires356715[[#This Row],[Fin corrigée si nuit]],fin_nuit)-MAX(Horaires356715[[#This Row],[début]],deb_nuit))-IF(Horaires356715[[#This Row],[PNP Début]]=0,0,MIN(Horaires356715[[#This Row],[PNP Fin corrigée]],fin_nuit)-MAX(Horaires356715[[#This Row],[PNP Début corrigé]],deb_nuit)))*24</f>
        <v>0</v>
      </c>
      <c r="P41" s="55">
        <f>(IF(WEEKDAY(Horaires356715[[#This Row],[Date]],2)=7,MAX(0,MIN(fin_dimJF,Horaires356715[[#This Row],[Fin corrigée si nuit]])-MAX(deb_dimJF,Horaires356715[[#This Row],[début]])),0)+IF(WEEKDAY(Horaires356715[[#This Row],[Date]],2)=6,MAX(0,Horaires356715[[#This Row],[Fin corrigée si nuit]]-(1+deb_dimJF)),0))*24</f>
        <v>0</v>
      </c>
      <c r="Q41" s="55">
        <f>(IF(WEEKDAY(Horaires356715[[#This Row],[Date]],2)=7,MAX(0,MIN(fin_dimJF,Horaires356715[[#This Row],[Fin corrigée si nuit]])-MAX(deb_dimJF,Horaires356715[[#This Row],[début]])),0)+IF(WEEKDAY(Horaires356715[[#This Row],[Date]],2)=6,MAX(0,Horaires356715[[#This Row],[Fin corrigée si nuit]]-(1+deb_dimJF)),0))*24-
(IF(WEEKDAY(Horaires356715[[#This Row],[Date]],2)=7,MAX(0,MIN(fin_dimJF,Horaires356715[[#This Row],[PNP Fin corrigée]])-MAX(deb_dimJF,Horaires356715[[#This Row],[PNP Début corrigé]])),0)+IF(WEEKDAY(Horaires356715[[#This Row],[Date]],2)=6,MAX(0,Horaires356715[[#This Row],[PNP Fin corrigée]]-(1+deb_dimJF)),0))*24</f>
        <v>0</v>
      </c>
      <c r="R41" s="55">
        <f>(IF(COUNTIF(JF,Horaires356715[[#This Row],[Date]]),MAX(0,MIN(fin_dimJF,Horaires356715[[#This Row],[Fin corrigée si nuit]])-MAX(deb_dimJF,Horaires356715[[#This Row],[début]])),0)+IF(COUNTIF(JF,Horaires356715[[#This Row],[Date]]+1),MAX(0,Horaires356715[[#This Row],[Fin corrigée si nuit]]-(1+deb_dimJF)),0))*24</f>
        <v>0</v>
      </c>
      <c r="S41" s="55">
        <f>(IF(COUNTIF(JF,Horaires356715[[#This Row],[Date]]),MAX(0,MIN(fin_dimJF,Horaires356715[[#This Row],[Fin corrigée si nuit]])-MAX(deb_dimJF,Horaires356715[[#This Row],[début]])),0)+IF(COUNTIF(JF,Horaires356715[[#This Row],[Date]]+1),MAX(0,Horaires356715[[#This Row],[Fin corrigée si nuit]]-(1+deb_dimJF)),0))*24-
(IF(COUNTIF(JF,Horaires356715[[#This Row],[Date]]),MAX(0,MIN(fin_dimJF,Horaires356715[[#This Row],[PNP Fin corrigée]])-MAX(deb_dimJF,Horaires356715[[#This Row],[PNP Début corrigé]])),0)+IF(COUNTIF(JF,Horaires356715[[#This Row],[Date]]+1),MAX(0,Horaires356715[[#This Row],[PNP Fin corrigée]]-(1+deb_dimJF)),0))*24</f>
        <v>0</v>
      </c>
    </row>
    <row r="42" spans="1:19" x14ac:dyDescent="0.35">
      <c r="A42" s="5"/>
      <c r="B42" s="1"/>
      <c r="C42" s="2"/>
      <c r="D42" s="2"/>
      <c r="E42" s="3"/>
      <c r="F42" s="3"/>
      <c r="G42" s="3"/>
      <c r="H42" s="3"/>
      <c r="I42" s="51">
        <f>0.1*(Horaires356715[[#This Row],[Heures de nuit]]+Horaires356715[[#This Row],[heures jour dimanche]]+Horaires356715[[#This Row],[heures jour fériés]])</f>
        <v>0</v>
      </c>
      <c r="J42" s="52">
        <f>(MOD(Horaires356715[[#This Row],[Fin]]-Horaires356715[[#This Row],[début]],1)-MOD(Horaires356715[[#This Row],[PNP Fin]]-Horaires356715[[#This Row],[PNP Début]],1))*24</f>
        <v>0</v>
      </c>
      <c r="K42" s="53">
        <f>IF(Horaires356715[[#This Row],[PNP Début]]=0,0,IF(Horaires356715[[#This Row],[PNP Début]]&lt;Horaires356715[[#This Row],[début]],1,0)+Horaires356715[[#This Row],[PNP Début]])</f>
        <v>0</v>
      </c>
      <c r="L42" s="54">
        <f>IF(Horaires356715[[#This Row],[PNP Fin]]=0,0,IF(Horaires356715[[#This Row],[PNP Fin]]&lt;Horaires356715[[#This Row],[début]],1,0)+Horaires356715[[#This Row],[PNP Fin]])</f>
        <v>0</v>
      </c>
      <c r="M42" s="54">
        <f>IF(Horaires356715[[#This Row],[Fin]]&lt;Horaires356715[[#This Row],[début]],1,0)+Horaires356715[[#This Row],[Fin]]</f>
        <v>0</v>
      </c>
      <c r="N42" s="35">
        <f>IF(Horaires356715[[#This Row],[Fin]]&lt;Horaires356715[[#This Row],[début]],MAX(0,MIN(Horaires356715[[#This Row],[Fin corrigée si nuit]],fin_nuit)-MAX(Horaires356715[[#This Row],[début]],deb_nuit))*24,(MAX(deb_nuit,Horaires356715[[#This Row],[Fin]])-MAX(deb_nuit,Horaires356715[[#This Row],[début]])+MAX(MIN(fin_nuit-1,Horaires356715[[#This Row],[Fin]])-MIN(fin_nuit-1,Horaires356715[[#This Row],[début]]),0))*24)</f>
        <v>0</v>
      </c>
      <c r="O42" s="55">
        <f>(MAX(0,MIN(Horaires356715[[#This Row],[Fin corrigée si nuit]],fin_nuit)-MAX(Horaires356715[[#This Row],[début]],deb_nuit))-IF(Horaires356715[[#This Row],[PNP Début]]=0,0,MIN(Horaires356715[[#This Row],[PNP Fin corrigée]],fin_nuit)-MAX(Horaires356715[[#This Row],[PNP Début corrigé]],deb_nuit)))*24</f>
        <v>0</v>
      </c>
      <c r="P42" s="55">
        <f>(IF(WEEKDAY(Horaires356715[[#This Row],[Date]],2)=7,MAX(0,MIN(fin_dimJF,Horaires356715[[#This Row],[Fin corrigée si nuit]])-MAX(deb_dimJF,Horaires356715[[#This Row],[début]])),0)+IF(WEEKDAY(Horaires356715[[#This Row],[Date]],2)=6,MAX(0,Horaires356715[[#This Row],[Fin corrigée si nuit]]-(1+deb_dimJF)),0))*24</f>
        <v>0</v>
      </c>
      <c r="Q42" s="55">
        <f>(IF(WEEKDAY(Horaires356715[[#This Row],[Date]],2)=7,MAX(0,MIN(fin_dimJF,Horaires356715[[#This Row],[Fin corrigée si nuit]])-MAX(deb_dimJF,Horaires356715[[#This Row],[début]])),0)+IF(WEEKDAY(Horaires356715[[#This Row],[Date]],2)=6,MAX(0,Horaires356715[[#This Row],[Fin corrigée si nuit]]-(1+deb_dimJF)),0))*24-
(IF(WEEKDAY(Horaires356715[[#This Row],[Date]],2)=7,MAX(0,MIN(fin_dimJF,Horaires356715[[#This Row],[PNP Fin corrigée]])-MAX(deb_dimJF,Horaires356715[[#This Row],[PNP Début corrigé]])),0)+IF(WEEKDAY(Horaires356715[[#This Row],[Date]],2)=6,MAX(0,Horaires356715[[#This Row],[PNP Fin corrigée]]-(1+deb_dimJF)),0))*24</f>
        <v>0</v>
      </c>
      <c r="R42" s="55">
        <f>(IF(COUNTIF(JF,Horaires356715[[#This Row],[Date]]),MAX(0,MIN(fin_dimJF,Horaires356715[[#This Row],[Fin corrigée si nuit]])-MAX(deb_dimJF,Horaires356715[[#This Row],[début]])),0)+IF(COUNTIF(JF,Horaires356715[[#This Row],[Date]]+1),MAX(0,Horaires356715[[#This Row],[Fin corrigée si nuit]]-(1+deb_dimJF)),0))*24</f>
        <v>0</v>
      </c>
      <c r="S42" s="55">
        <f>(IF(COUNTIF(JF,Horaires356715[[#This Row],[Date]]),MAX(0,MIN(fin_dimJF,Horaires356715[[#This Row],[Fin corrigée si nuit]])-MAX(deb_dimJF,Horaires356715[[#This Row],[début]])),0)+IF(COUNTIF(JF,Horaires356715[[#This Row],[Date]]+1),MAX(0,Horaires356715[[#This Row],[Fin corrigée si nuit]]-(1+deb_dimJF)),0))*24-
(IF(COUNTIF(JF,Horaires356715[[#This Row],[Date]]),MAX(0,MIN(fin_dimJF,Horaires356715[[#This Row],[PNP Fin corrigée]])-MAX(deb_dimJF,Horaires356715[[#This Row],[PNP Début corrigé]])),0)+IF(COUNTIF(JF,Horaires356715[[#This Row],[Date]]+1),MAX(0,Horaires356715[[#This Row],[PNP Fin corrigée]]-(1+deb_dimJF)),0))*24</f>
        <v>0</v>
      </c>
    </row>
    <row r="43" spans="1:19" x14ac:dyDescent="0.35">
      <c r="A43" s="5"/>
      <c r="B43" s="1"/>
      <c r="C43" s="2"/>
      <c r="D43" s="2"/>
      <c r="E43" s="3"/>
      <c r="F43" s="3"/>
      <c r="G43" s="3"/>
      <c r="H43" s="3"/>
      <c r="I43" s="51">
        <f>0.1*(Horaires356715[[#This Row],[Heures de nuit]]+Horaires356715[[#This Row],[heures jour dimanche]]+Horaires356715[[#This Row],[heures jour fériés]])</f>
        <v>0</v>
      </c>
      <c r="J43" s="52">
        <f>(MOD(Horaires356715[[#This Row],[Fin]]-Horaires356715[[#This Row],[début]],1)-MOD(Horaires356715[[#This Row],[PNP Fin]]-Horaires356715[[#This Row],[PNP Début]],1))*24</f>
        <v>0</v>
      </c>
      <c r="K43" s="53">
        <f>IF(Horaires356715[[#This Row],[PNP Début]]=0,0,IF(Horaires356715[[#This Row],[PNP Début]]&lt;Horaires356715[[#This Row],[début]],1,0)+Horaires356715[[#This Row],[PNP Début]])</f>
        <v>0</v>
      </c>
      <c r="L43" s="54">
        <f>IF(Horaires356715[[#This Row],[PNP Fin]]=0,0,IF(Horaires356715[[#This Row],[PNP Fin]]&lt;Horaires356715[[#This Row],[début]],1,0)+Horaires356715[[#This Row],[PNP Fin]])</f>
        <v>0</v>
      </c>
      <c r="M43" s="54">
        <f>IF(Horaires356715[[#This Row],[Fin]]&lt;Horaires356715[[#This Row],[début]],1,0)+Horaires356715[[#This Row],[Fin]]</f>
        <v>0</v>
      </c>
      <c r="N43" s="35">
        <f>IF(Horaires356715[[#This Row],[Fin]]&lt;Horaires356715[[#This Row],[début]],MAX(0,MIN(Horaires356715[[#This Row],[Fin corrigée si nuit]],fin_nuit)-MAX(Horaires356715[[#This Row],[début]],deb_nuit))*24,(MAX(deb_nuit,Horaires356715[[#This Row],[Fin]])-MAX(deb_nuit,Horaires356715[[#This Row],[début]])+MAX(MIN(fin_nuit-1,Horaires356715[[#This Row],[Fin]])-MIN(fin_nuit-1,Horaires356715[[#This Row],[début]]),0))*24)</f>
        <v>0</v>
      </c>
      <c r="O43" s="55">
        <f>(MAX(0,MIN(Horaires356715[[#This Row],[Fin corrigée si nuit]],fin_nuit)-MAX(Horaires356715[[#This Row],[début]],deb_nuit))-IF(Horaires356715[[#This Row],[PNP Début]]=0,0,MIN(Horaires356715[[#This Row],[PNP Fin corrigée]],fin_nuit)-MAX(Horaires356715[[#This Row],[PNP Début corrigé]],deb_nuit)))*24</f>
        <v>0</v>
      </c>
      <c r="P43" s="55">
        <f>(IF(WEEKDAY(Horaires356715[[#This Row],[Date]],2)=7,MAX(0,MIN(fin_dimJF,Horaires356715[[#This Row],[Fin corrigée si nuit]])-MAX(deb_dimJF,Horaires356715[[#This Row],[début]])),0)+IF(WEEKDAY(Horaires356715[[#This Row],[Date]],2)=6,MAX(0,Horaires356715[[#This Row],[Fin corrigée si nuit]]-(1+deb_dimJF)),0))*24</f>
        <v>0</v>
      </c>
      <c r="Q43" s="55">
        <f>(IF(WEEKDAY(Horaires356715[[#This Row],[Date]],2)=7,MAX(0,MIN(fin_dimJF,Horaires356715[[#This Row],[Fin corrigée si nuit]])-MAX(deb_dimJF,Horaires356715[[#This Row],[début]])),0)+IF(WEEKDAY(Horaires356715[[#This Row],[Date]],2)=6,MAX(0,Horaires356715[[#This Row],[Fin corrigée si nuit]]-(1+deb_dimJF)),0))*24-
(IF(WEEKDAY(Horaires356715[[#This Row],[Date]],2)=7,MAX(0,MIN(fin_dimJF,Horaires356715[[#This Row],[PNP Fin corrigée]])-MAX(deb_dimJF,Horaires356715[[#This Row],[PNP Début corrigé]])),0)+IF(WEEKDAY(Horaires356715[[#This Row],[Date]],2)=6,MAX(0,Horaires356715[[#This Row],[PNP Fin corrigée]]-(1+deb_dimJF)),0))*24</f>
        <v>0</v>
      </c>
      <c r="R43" s="55">
        <f>(IF(COUNTIF(JF,Horaires356715[[#This Row],[Date]]),MAX(0,MIN(fin_dimJF,Horaires356715[[#This Row],[Fin corrigée si nuit]])-MAX(deb_dimJF,Horaires356715[[#This Row],[début]])),0)+IF(COUNTIF(JF,Horaires356715[[#This Row],[Date]]+1),MAX(0,Horaires356715[[#This Row],[Fin corrigée si nuit]]-(1+deb_dimJF)),0))*24</f>
        <v>0</v>
      </c>
      <c r="S43" s="55">
        <f>(IF(COUNTIF(JF,Horaires356715[[#This Row],[Date]]),MAX(0,MIN(fin_dimJF,Horaires356715[[#This Row],[Fin corrigée si nuit]])-MAX(deb_dimJF,Horaires356715[[#This Row],[début]])),0)+IF(COUNTIF(JF,Horaires356715[[#This Row],[Date]]+1),MAX(0,Horaires356715[[#This Row],[Fin corrigée si nuit]]-(1+deb_dimJF)),0))*24-
(IF(COUNTIF(JF,Horaires356715[[#This Row],[Date]]),MAX(0,MIN(fin_dimJF,Horaires356715[[#This Row],[PNP Fin corrigée]])-MAX(deb_dimJF,Horaires356715[[#This Row],[PNP Début corrigé]])),0)+IF(COUNTIF(JF,Horaires356715[[#This Row],[Date]]+1),MAX(0,Horaires356715[[#This Row],[PNP Fin corrigée]]-(1+deb_dimJF)),0))*24</f>
        <v>0</v>
      </c>
    </row>
    <row r="44" spans="1:19" x14ac:dyDescent="0.35">
      <c r="A44" s="5"/>
      <c r="B44" s="1"/>
      <c r="C44" s="2"/>
      <c r="D44" s="2"/>
      <c r="E44" s="3"/>
      <c r="F44" s="3"/>
      <c r="G44" s="3"/>
      <c r="H44" s="3"/>
      <c r="I44" s="51">
        <f>0.1*(Horaires356715[[#This Row],[Heures de nuit]]+Horaires356715[[#This Row],[heures jour dimanche]]+Horaires356715[[#This Row],[heures jour fériés]])</f>
        <v>0</v>
      </c>
      <c r="J44" s="52">
        <f>(MOD(Horaires356715[[#This Row],[Fin]]-Horaires356715[[#This Row],[début]],1)-MOD(Horaires356715[[#This Row],[PNP Fin]]-Horaires356715[[#This Row],[PNP Début]],1))*24</f>
        <v>0</v>
      </c>
      <c r="K44" s="53">
        <f>IF(Horaires356715[[#This Row],[PNP Début]]=0,0,IF(Horaires356715[[#This Row],[PNP Début]]&lt;Horaires356715[[#This Row],[début]],1,0)+Horaires356715[[#This Row],[PNP Début]])</f>
        <v>0</v>
      </c>
      <c r="L44" s="54">
        <f>IF(Horaires356715[[#This Row],[PNP Fin]]=0,0,IF(Horaires356715[[#This Row],[PNP Fin]]&lt;Horaires356715[[#This Row],[début]],1,0)+Horaires356715[[#This Row],[PNP Fin]])</f>
        <v>0</v>
      </c>
      <c r="M44" s="54">
        <f>IF(Horaires356715[[#This Row],[Fin]]&lt;Horaires356715[[#This Row],[début]],1,0)+Horaires356715[[#This Row],[Fin]]</f>
        <v>0</v>
      </c>
      <c r="N44" s="35">
        <f>IF(Horaires356715[[#This Row],[Fin]]&lt;Horaires356715[[#This Row],[début]],MAX(0,MIN(Horaires356715[[#This Row],[Fin corrigée si nuit]],fin_nuit)-MAX(Horaires356715[[#This Row],[début]],deb_nuit))*24,(MAX(deb_nuit,Horaires356715[[#This Row],[Fin]])-MAX(deb_nuit,Horaires356715[[#This Row],[début]])+MAX(MIN(fin_nuit-1,Horaires356715[[#This Row],[Fin]])-MIN(fin_nuit-1,Horaires356715[[#This Row],[début]]),0))*24)</f>
        <v>0</v>
      </c>
      <c r="O44" s="55">
        <f>(MAX(0,MIN(Horaires356715[[#This Row],[Fin corrigée si nuit]],fin_nuit)-MAX(Horaires356715[[#This Row],[début]],deb_nuit))-IF(Horaires356715[[#This Row],[PNP Début]]=0,0,MIN(Horaires356715[[#This Row],[PNP Fin corrigée]],fin_nuit)-MAX(Horaires356715[[#This Row],[PNP Début corrigé]],deb_nuit)))*24</f>
        <v>0</v>
      </c>
      <c r="P44" s="55">
        <f>(IF(WEEKDAY(Horaires356715[[#This Row],[Date]],2)=7,MAX(0,MIN(fin_dimJF,Horaires356715[[#This Row],[Fin corrigée si nuit]])-MAX(deb_dimJF,Horaires356715[[#This Row],[début]])),0)+IF(WEEKDAY(Horaires356715[[#This Row],[Date]],2)=6,MAX(0,Horaires356715[[#This Row],[Fin corrigée si nuit]]-(1+deb_dimJF)),0))*24</f>
        <v>0</v>
      </c>
      <c r="Q44" s="55">
        <f>(IF(WEEKDAY(Horaires356715[[#This Row],[Date]],2)=7,MAX(0,MIN(fin_dimJF,Horaires356715[[#This Row],[Fin corrigée si nuit]])-MAX(deb_dimJF,Horaires356715[[#This Row],[début]])),0)+IF(WEEKDAY(Horaires356715[[#This Row],[Date]],2)=6,MAX(0,Horaires356715[[#This Row],[Fin corrigée si nuit]]-(1+deb_dimJF)),0))*24-
(IF(WEEKDAY(Horaires356715[[#This Row],[Date]],2)=7,MAX(0,MIN(fin_dimJF,Horaires356715[[#This Row],[PNP Fin corrigée]])-MAX(deb_dimJF,Horaires356715[[#This Row],[PNP Début corrigé]])),0)+IF(WEEKDAY(Horaires356715[[#This Row],[Date]],2)=6,MAX(0,Horaires356715[[#This Row],[PNP Fin corrigée]]-(1+deb_dimJF)),0))*24</f>
        <v>0</v>
      </c>
      <c r="R44" s="55">
        <f>(IF(COUNTIF(JF,Horaires356715[[#This Row],[Date]]),MAX(0,MIN(fin_dimJF,Horaires356715[[#This Row],[Fin corrigée si nuit]])-MAX(deb_dimJF,Horaires356715[[#This Row],[début]])),0)+IF(COUNTIF(JF,Horaires356715[[#This Row],[Date]]+1),MAX(0,Horaires356715[[#This Row],[Fin corrigée si nuit]]-(1+deb_dimJF)),0))*24</f>
        <v>0</v>
      </c>
      <c r="S44" s="55">
        <f>(IF(COUNTIF(JF,Horaires356715[[#This Row],[Date]]),MAX(0,MIN(fin_dimJF,Horaires356715[[#This Row],[Fin corrigée si nuit]])-MAX(deb_dimJF,Horaires356715[[#This Row],[début]])),0)+IF(COUNTIF(JF,Horaires356715[[#This Row],[Date]]+1),MAX(0,Horaires356715[[#This Row],[Fin corrigée si nuit]]-(1+deb_dimJF)),0))*24-
(IF(COUNTIF(JF,Horaires356715[[#This Row],[Date]]),MAX(0,MIN(fin_dimJF,Horaires356715[[#This Row],[PNP Fin corrigée]])-MAX(deb_dimJF,Horaires356715[[#This Row],[PNP Début corrigé]])),0)+IF(COUNTIF(JF,Horaires356715[[#This Row],[Date]]+1),MAX(0,Horaires356715[[#This Row],[PNP Fin corrigée]]-(1+deb_dimJF)),0))*24</f>
        <v>0</v>
      </c>
    </row>
    <row r="45" spans="1:19" x14ac:dyDescent="0.35">
      <c r="A45" s="5"/>
      <c r="B45" s="1"/>
      <c r="C45" s="2"/>
      <c r="D45" s="2"/>
      <c r="E45" s="3"/>
      <c r="F45" s="3"/>
      <c r="G45" s="3"/>
      <c r="H45" s="3"/>
      <c r="I45" s="51">
        <f>0.1*(Horaires356715[[#This Row],[Heures de nuit]]+Horaires356715[[#This Row],[heures jour dimanche]]+Horaires356715[[#This Row],[heures jour fériés]])</f>
        <v>0</v>
      </c>
      <c r="J45" s="52">
        <f>(MOD(Horaires356715[[#This Row],[Fin]]-Horaires356715[[#This Row],[début]],1)-MOD(Horaires356715[[#This Row],[PNP Fin]]-Horaires356715[[#This Row],[PNP Début]],1))*24</f>
        <v>0</v>
      </c>
      <c r="K45" s="53">
        <f>IF(Horaires356715[[#This Row],[PNP Début]]=0,0,IF(Horaires356715[[#This Row],[PNP Début]]&lt;Horaires356715[[#This Row],[début]],1,0)+Horaires356715[[#This Row],[PNP Début]])</f>
        <v>0</v>
      </c>
      <c r="L45" s="54">
        <f>IF(Horaires356715[[#This Row],[PNP Fin]]=0,0,IF(Horaires356715[[#This Row],[PNP Fin]]&lt;Horaires356715[[#This Row],[début]],1,0)+Horaires356715[[#This Row],[PNP Fin]])</f>
        <v>0</v>
      </c>
      <c r="M45" s="54">
        <f>IF(Horaires356715[[#This Row],[Fin]]&lt;Horaires356715[[#This Row],[début]],1,0)+Horaires356715[[#This Row],[Fin]]</f>
        <v>0</v>
      </c>
      <c r="N45" s="35">
        <f>IF(Horaires356715[[#This Row],[Fin]]&lt;Horaires356715[[#This Row],[début]],MAX(0,MIN(Horaires356715[[#This Row],[Fin corrigée si nuit]],fin_nuit)-MAX(Horaires356715[[#This Row],[début]],deb_nuit))*24,(MAX(deb_nuit,Horaires356715[[#This Row],[Fin]])-MAX(deb_nuit,Horaires356715[[#This Row],[début]])+MAX(MIN(fin_nuit-1,Horaires356715[[#This Row],[Fin]])-MIN(fin_nuit-1,Horaires356715[[#This Row],[début]]),0))*24)</f>
        <v>0</v>
      </c>
      <c r="O45" s="55">
        <f>(MAX(0,MIN(Horaires356715[[#This Row],[Fin corrigée si nuit]],fin_nuit)-MAX(Horaires356715[[#This Row],[début]],deb_nuit))-IF(Horaires356715[[#This Row],[PNP Début]]=0,0,MIN(Horaires356715[[#This Row],[PNP Fin corrigée]],fin_nuit)-MAX(Horaires356715[[#This Row],[PNP Début corrigé]],deb_nuit)))*24</f>
        <v>0</v>
      </c>
      <c r="P45" s="55">
        <f>(IF(WEEKDAY(Horaires356715[[#This Row],[Date]],2)=7,MAX(0,MIN(fin_dimJF,Horaires356715[[#This Row],[Fin corrigée si nuit]])-MAX(deb_dimJF,Horaires356715[[#This Row],[début]])),0)+IF(WEEKDAY(Horaires356715[[#This Row],[Date]],2)=6,MAX(0,Horaires356715[[#This Row],[Fin corrigée si nuit]]-(1+deb_dimJF)),0))*24</f>
        <v>0</v>
      </c>
      <c r="Q45" s="55">
        <f>(IF(WEEKDAY(Horaires356715[[#This Row],[Date]],2)=7,MAX(0,MIN(fin_dimJF,Horaires356715[[#This Row],[Fin corrigée si nuit]])-MAX(deb_dimJF,Horaires356715[[#This Row],[début]])),0)+IF(WEEKDAY(Horaires356715[[#This Row],[Date]],2)=6,MAX(0,Horaires356715[[#This Row],[Fin corrigée si nuit]]-(1+deb_dimJF)),0))*24-
(IF(WEEKDAY(Horaires356715[[#This Row],[Date]],2)=7,MAX(0,MIN(fin_dimJF,Horaires356715[[#This Row],[PNP Fin corrigée]])-MAX(deb_dimJF,Horaires356715[[#This Row],[PNP Début corrigé]])),0)+IF(WEEKDAY(Horaires356715[[#This Row],[Date]],2)=6,MAX(0,Horaires356715[[#This Row],[PNP Fin corrigée]]-(1+deb_dimJF)),0))*24</f>
        <v>0</v>
      </c>
      <c r="R45" s="55">
        <f>(IF(COUNTIF(JF,Horaires356715[[#This Row],[Date]]),MAX(0,MIN(fin_dimJF,Horaires356715[[#This Row],[Fin corrigée si nuit]])-MAX(deb_dimJF,Horaires356715[[#This Row],[début]])),0)+IF(COUNTIF(JF,Horaires356715[[#This Row],[Date]]+1),MAX(0,Horaires356715[[#This Row],[Fin corrigée si nuit]]-(1+deb_dimJF)),0))*24</f>
        <v>0</v>
      </c>
      <c r="S45" s="55">
        <f>(IF(COUNTIF(JF,Horaires356715[[#This Row],[Date]]),MAX(0,MIN(fin_dimJF,Horaires356715[[#This Row],[Fin corrigée si nuit]])-MAX(deb_dimJF,Horaires356715[[#This Row],[début]])),0)+IF(COUNTIF(JF,Horaires356715[[#This Row],[Date]]+1),MAX(0,Horaires356715[[#This Row],[Fin corrigée si nuit]]-(1+deb_dimJF)),0))*24-
(IF(COUNTIF(JF,Horaires356715[[#This Row],[Date]]),MAX(0,MIN(fin_dimJF,Horaires356715[[#This Row],[PNP Fin corrigée]])-MAX(deb_dimJF,Horaires356715[[#This Row],[PNP Début corrigé]])),0)+IF(COUNTIF(JF,Horaires356715[[#This Row],[Date]]+1),MAX(0,Horaires356715[[#This Row],[PNP Fin corrigée]]-(1+deb_dimJF)),0))*24</f>
        <v>0</v>
      </c>
    </row>
    <row r="46" spans="1:19" x14ac:dyDescent="0.35">
      <c r="A46" s="5"/>
      <c r="B46" s="1"/>
      <c r="C46" s="2"/>
      <c r="D46" s="2"/>
      <c r="E46" s="3"/>
      <c r="F46" s="3"/>
      <c r="G46" s="3"/>
      <c r="H46" s="3"/>
      <c r="I46" s="51">
        <f>0.1*(Horaires356715[[#This Row],[Heures de nuit]]+Horaires356715[[#This Row],[heures jour dimanche]]+Horaires356715[[#This Row],[heures jour fériés]])</f>
        <v>0</v>
      </c>
      <c r="J46" s="52">
        <f>(MOD(Horaires356715[[#This Row],[Fin]]-Horaires356715[[#This Row],[début]],1)-MOD(Horaires356715[[#This Row],[PNP Fin]]-Horaires356715[[#This Row],[PNP Début]],1))*24</f>
        <v>0</v>
      </c>
      <c r="K46" s="53">
        <f>IF(Horaires356715[[#This Row],[PNP Début]]=0,0,IF(Horaires356715[[#This Row],[PNP Début]]&lt;Horaires356715[[#This Row],[début]],1,0)+Horaires356715[[#This Row],[PNP Début]])</f>
        <v>0</v>
      </c>
      <c r="L46" s="54">
        <f>IF(Horaires356715[[#This Row],[PNP Fin]]=0,0,IF(Horaires356715[[#This Row],[PNP Fin]]&lt;Horaires356715[[#This Row],[début]],1,0)+Horaires356715[[#This Row],[PNP Fin]])</f>
        <v>0</v>
      </c>
      <c r="M46" s="54">
        <f>IF(Horaires356715[[#This Row],[Fin]]&lt;Horaires356715[[#This Row],[début]],1,0)+Horaires356715[[#This Row],[Fin]]</f>
        <v>0</v>
      </c>
      <c r="N46" s="35">
        <f>IF(Horaires356715[[#This Row],[Fin]]&lt;Horaires356715[[#This Row],[début]],MAX(0,MIN(Horaires356715[[#This Row],[Fin corrigée si nuit]],fin_nuit)-MAX(Horaires356715[[#This Row],[début]],deb_nuit))*24,(MAX(deb_nuit,Horaires356715[[#This Row],[Fin]])-MAX(deb_nuit,Horaires356715[[#This Row],[début]])+MAX(MIN(fin_nuit-1,Horaires356715[[#This Row],[Fin]])-MIN(fin_nuit-1,Horaires356715[[#This Row],[début]]),0))*24)</f>
        <v>0</v>
      </c>
      <c r="O46" s="55">
        <f>(MAX(0,MIN(Horaires356715[[#This Row],[Fin corrigée si nuit]],fin_nuit)-MAX(Horaires356715[[#This Row],[début]],deb_nuit))-IF(Horaires356715[[#This Row],[PNP Début]]=0,0,MIN(Horaires356715[[#This Row],[PNP Fin corrigée]],fin_nuit)-MAX(Horaires356715[[#This Row],[PNP Début corrigé]],deb_nuit)))*24</f>
        <v>0</v>
      </c>
      <c r="P46" s="55">
        <f>(IF(WEEKDAY(Horaires356715[[#This Row],[Date]],2)=7,MAX(0,MIN(fin_dimJF,Horaires356715[[#This Row],[Fin corrigée si nuit]])-MAX(deb_dimJF,Horaires356715[[#This Row],[début]])),0)+IF(WEEKDAY(Horaires356715[[#This Row],[Date]],2)=6,MAX(0,Horaires356715[[#This Row],[Fin corrigée si nuit]]-(1+deb_dimJF)),0))*24</f>
        <v>0</v>
      </c>
      <c r="Q46" s="55">
        <f>(IF(WEEKDAY(Horaires356715[[#This Row],[Date]],2)=7,MAX(0,MIN(fin_dimJF,Horaires356715[[#This Row],[Fin corrigée si nuit]])-MAX(deb_dimJF,Horaires356715[[#This Row],[début]])),0)+IF(WEEKDAY(Horaires356715[[#This Row],[Date]],2)=6,MAX(0,Horaires356715[[#This Row],[Fin corrigée si nuit]]-(1+deb_dimJF)),0))*24-
(IF(WEEKDAY(Horaires356715[[#This Row],[Date]],2)=7,MAX(0,MIN(fin_dimJF,Horaires356715[[#This Row],[PNP Fin corrigée]])-MAX(deb_dimJF,Horaires356715[[#This Row],[PNP Début corrigé]])),0)+IF(WEEKDAY(Horaires356715[[#This Row],[Date]],2)=6,MAX(0,Horaires356715[[#This Row],[PNP Fin corrigée]]-(1+deb_dimJF)),0))*24</f>
        <v>0</v>
      </c>
      <c r="R46" s="55">
        <f>(IF(COUNTIF(JF,Horaires356715[[#This Row],[Date]]),MAX(0,MIN(fin_dimJF,Horaires356715[[#This Row],[Fin corrigée si nuit]])-MAX(deb_dimJF,Horaires356715[[#This Row],[début]])),0)+IF(COUNTIF(JF,Horaires356715[[#This Row],[Date]]+1),MAX(0,Horaires356715[[#This Row],[Fin corrigée si nuit]]-(1+deb_dimJF)),0))*24</f>
        <v>0</v>
      </c>
      <c r="S46" s="55">
        <f>(IF(COUNTIF(JF,Horaires356715[[#This Row],[Date]]),MAX(0,MIN(fin_dimJF,Horaires356715[[#This Row],[Fin corrigée si nuit]])-MAX(deb_dimJF,Horaires356715[[#This Row],[début]])),0)+IF(COUNTIF(JF,Horaires356715[[#This Row],[Date]]+1),MAX(0,Horaires356715[[#This Row],[Fin corrigée si nuit]]-(1+deb_dimJF)),0))*24-
(IF(COUNTIF(JF,Horaires356715[[#This Row],[Date]]),MAX(0,MIN(fin_dimJF,Horaires356715[[#This Row],[PNP Fin corrigée]])-MAX(deb_dimJF,Horaires356715[[#This Row],[PNP Début corrigé]])),0)+IF(COUNTIF(JF,Horaires356715[[#This Row],[Date]]+1),MAX(0,Horaires356715[[#This Row],[PNP Fin corrigée]]-(1+deb_dimJF)),0))*24</f>
        <v>0</v>
      </c>
    </row>
    <row r="47" spans="1:19" x14ac:dyDescent="0.35">
      <c r="A47" s="5"/>
      <c r="B47" s="1"/>
      <c r="C47" s="2"/>
      <c r="D47" s="2"/>
      <c r="E47" s="3"/>
      <c r="F47" s="3"/>
      <c r="G47" s="3"/>
      <c r="H47" s="3"/>
      <c r="I47" s="51">
        <f>0.1*(Horaires356715[[#This Row],[Heures de nuit]]+Horaires356715[[#This Row],[heures jour dimanche]]+Horaires356715[[#This Row],[heures jour fériés]])</f>
        <v>0</v>
      </c>
      <c r="J47" s="52">
        <f>(MOD(Horaires356715[[#This Row],[Fin]]-Horaires356715[[#This Row],[début]],1)-MOD(Horaires356715[[#This Row],[PNP Fin]]-Horaires356715[[#This Row],[PNP Début]],1))*24</f>
        <v>0</v>
      </c>
      <c r="K47" s="53">
        <f>IF(Horaires356715[[#This Row],[PNP Début]]=0,0,IF(Horaires356715[[#This Row],[PNP Début]]&lt;Horaires356715[[#This Row],[début]],1,0)+Horaires356715[[#This Row],[PNP Début]])</f>
        <v>0</v>
      </c>
      <c r="L47" s="54">
        <f>IF(Horaires356715[[#This Row],[PNP Fin]]=0,0,IF(Horaires356715[[#This Row],[PNP Fin]]&lt;Horaires356715[[#This Row],[début]],1,0)+Horaires356715[[#This Row],[PNP Fin]])</f>
        <v>0</v>
      </c>
      <c r="M47" s="54">
        <f>IF(Horaires356715[[#This Row],[Fin]]&lt;Horaires356715[[#This Row],[début]],1,0)+Horaires356715[[#This Row],[Fin]]</f>
        <v>0</v>
      </c>
      <c r="N47" s="35">
        <f>IF(Horaires356715[[#This Row],[Fin]]&lt;Horaires356715[[#This Row],[début]],MAX(0,MIN(Horaires356715[[#This Row],[Fin corrigée si nuit]],fin_nuit)-MAX(Horaires356715[[#This Row],[début]],deb_nuit))*24,(MAX(deb_nuit,Horaires356715[[#This Row],[Fin]])-MAX(deb_nuit,Horaires356715[[#This Row],[début]])+MAX(MIN(fin_nuit-1,Horaires356715[[#This Row],[Fin]])-MIN(fin_nuit-1,Horaires356715[[#This Row],[début]]),0))*24)</f>
        <v>0</v>
      </c>
      <c r="O47" s="55">
        <f>(MAX(0,MIN(Horaires356715[[#This Row],[Fin corrigée si nuit]],fin_nuit)-MAX(Horaires356715[[#This Row],[début]],deb_nuit))-IF(Horaires356715[[#This Row],[PNP Début]]=0,0,MIN(Horaires356715[[#This Row],[PNP Fin corrigée]],fin_nuit)-MAX(Horaires356715[[#This Row],[PNP Début corrigé]],deb_nuit)))*24</f>
        <v>0</v>
      </c>
      <c r="P47" s="55">
        <f>(IF(WEEKDAY(Horaires356715[[#This Row],[Date]],2)=7,MAX(0,MIN(fin_dimJF,Horaires356715[[#This Row],[Fin corrigée si nuit]])-MAX(deb_dimJF,Horaires356715[[#This Row],[début]])),0)+IF(WEEKDAY(Horaires356715[[#This Row],[Date]],2)=6,MAX(0,Horaires356715[[#This Row],[Fin corrigée si nuit]]-(1+deb_dimJF)),0))*24</f>
        <v>0</v>
      </c>
      <c r="Q47" s="55">
        <f>(IF(WEEKDAY(Horaires356715[[#This Row],[Date]],2)=7,MAX(0,MIN(fin_dimJF,Horaires356715[[#This Row],[Fin corrigée si nuit]])-MAX(deb_dimJF,Horaires356715[[#This Row],[début]])),0)+IF(WEEKDAY(Horaires356715[[#This Row],[Date]],2)=6,MAX(0,Horaires356715[[#This Row],[Fin corrigée si nuit]]-(1+deb_dimJF)),0))*24-
(IF(WEEKDAY(Horaires356715[[#This Row],[Date]],2)=7,MAX(0,MIN(fin_dimJF,Horaires356715[[#This Row],[PNP Fin corrigée]])-MAX(deb_dimJF,Horaires356715[[#This Row],[PNP Début corrigé]])),0)+IF(WEEKDAY(Horaires356715[[#This Row],[Date]],2)=6,MAX(0,Horaires356715[[#This Row],[PNP Fin corrigée]]-(1+deb_dimJF)),0))*24</f>
        <v>0</v>
      </c>
      <c r="R47" s="55">
        <f>(IF(COUNTIF(JF,Horaires356715[[#This Row],[Date]]),MAX(0,MIN(fin_dimJF,Horaires356715[[#This Row],[Fin corrigée si nuit]])-MAX(deb_dimJF,Horaires356715[[#This Row],[début]])),0)+IF(COUNTIF(JF,Horaires356715[[#This Row],[Date]]+1),MAX(0,Horaires356715[[#This Row],[Fin corrigée si nuit]]-(1+deb_dimJF)),0))*24</f>
        <v>0</v>
      </c>
      <c r="S47" s="55">
        <f>(IF(COUNTIF(JF,Horaires356715[[#This Row],[Date]]),MAX(0,MIN(fin_dimJF,Horaires356715[[#This Row],[Fin corrigée si nuit]])-MAX(deb_dimJF,Horaires356715[[#This Row],[début]])),0)+IF(COUNTIF(JF,Horaires356715[[#This Row],[Date]]+1),MAX(0,Horaires356715[[#This Row],[Fin corrigée si nuit]]-(1+deb_dimJF)),0))*24-
(IF(COUNTIF(JF,Horaires356715[[#This Row],[Date]]),MAX(0,MIN(fin_dimJF,Horaires356715[[#This Row],[PNP Fin corrigée]])-MAX(deb_dimJF,Horaires356715[[#This Row],[PNP Début corrigé]])),0)+IF(COUNTIF(JF,Horaires356715[[#This Row],[Date]]+1),MAX(0,Horaires356715[[#This Row],[PNP Fin corrigée]]-(1+deb_dimJF)),0))*24</f>
        <v>0</v>
      </c>
    </row>
    <row r="48" spans="1:19" x14ac:dyDescent="0.35">
      <c r="A48" s="5"/>
      <c r="B48" s="1"/>
      <c r="C48" s="2"/>
      <c r="D48" s="2"/>
      <c r="E48" s="3"/>
      <c r="F48" s="3"/>
      <c r="G48" s="3"/>
      <c r="H48" s="3"/>
      <c r="I48" s="51">
        <f>0.1*(Horaires356715[[#This Row],[Heures de nuit]]+Horaires356715[[#This Row],[heures jour dimanche]]+Horaires356715[[#This Row],[heures jour fériés]])</f>
        <v>0</v>
      </c>
      <c r="J48" s="52">
        <f>(MOD(Horaires356715[[#This Row],[Fin]]-Horaires356715[[#This Row],[début]],1)-MOD(Horaires356715[[#This Row],[PNP Fin]]-Horaires356715[[#This Row],[PNP Début]],1))*24</f>
        <v>0</v>
      </c>
      <c r="K48" s="53">
        <f>IF(Horaires356715[[#This Row],[PNP Début]]=0,0,IF(Horaires356715[[#This Row],[PNP Début]]&lt;Horaires356715[[#This Row],[début]],1,0)+Horaires356715[[#This Row],[PNP Début]])</f>
        <v>0</v>
      </c>
      <c r="L48" s="54">
        <f>IF(Horaires356715[[#This Row],[PNP Fin]]=0,0,IF(Horaires356715[[#This Row],[PNP Fin]]&lt;Horaires356715[[#This Row],[début]],1,0)+Horaires356715[[#This Row],[PNP Fin]])</f>
        <v>0</v>
      </c>
      <c r="M48" s="54">
        <f>IF(Horaires356715[[#This Row],[Fin]]&lt;Horaires356715[[#This Row],[début]],1,0)+Horaires356715[[#This Row],[Fin]]</f>
        <v>0</v>
      </c>
      <c r="N48" s="35">
        <f>IF(Horaires356715[[#This Row],[Fin]]&lt;Horaires356715[[#This Row],[début]],MAX(0,MIN(Horaires356715[[#This Row],[Fin corrigée si nuit]],fin_nuit)-MAX(Horaires356715[[#This Row],[début]],deb_nuit))*24,(MAX(deb_nuit,Horaires356715[[#This Row],[Fin]])-MAX(deb_nuit,Horaires356715[[#This Row],[début]])+MAX(MIN(fin_nuit-1,Horaires356715[[#This Row],[Fin]])-MIN(fin_nuit-1,Horaires356715[[#This Row],[début]]),0))*24)</f>
        <v>0</v>
      </c>
      <c r="O48" s="55">
        <f>(MAX(0,MIN(Horaires356715[[#This Row],[Fin corrigée si nuit]],fin_nuit)-MAX(Horaires356715[[#This Row],[début]],deb_nuit))-IF(Horaires356715[[#This Row],[PNP Début]]=0,0,MIN(Horaires356715[[#This Row],[PNP Fin corrigée]],fin_nuit)-MAX(Horaires356715[[#This Row],[PNP Début corrigé]],deb_nuit)))*24</f>
        <v>0</v>
      </c>
      <c r="P48" s="55">
        <f>(IF(WEEKDAY(Horaires356715[[#This Row],[Date]],2)=7,MAX(0,MIN(fin_dimJF,Horaires356715[[#This Row],[Fin corrigée si nuit]])-MAX(deb_dimJF,Horaires356715[[#This Row],[début]])),0)+IF(WEEKDAY(Horaires356715[[#This Row],[Date]],2)=6,MAX(0,Horaires356715[[#This Row],[Fin corrigée si nuit]]-(1+deb_dimJF)),0))*24</f>
        <v>0</v>
      </c>
      <c r="Q48" s="55">
        <f>(IF(WEEKDAY(Horaires356715[[#This Row],[Date]],2)=7,MAX(0,MIN(fin_dimJF,Horaires356715[[#This Row],[Fin corrigée si nuit]])-MAX(deb_dimJF,Horaires356715[[#This Row],[début]])),0)+IF(WEEKDAY(Horaires356715[[#This Row],[Date]],2)=6,MAX(0,Horaires356715[[#This Row],[Fin corrigée si nuit]]-(1+deb_dimJF)),0))*24-
(IF(WEEKDAY(Horaires356715[[#This Row],[Date]],2)=7,MAX(0,MIN(fin_dimJF,Horaires356715[[#This Row],[PNP Fin corrigée]])-MAX(deb_dimJF,Horaires356715[[#This Row],[PNP Début corrigé]])),0)+IF(WEEKDAY(Horaires356715[[#This Row],[Date]],2)=6,MAX(0,Horaires356715[[#This Row],[PNP Fin corrigée]]-(1+deb_dimJF)),0))*24</f>
        <v>0</v>
      </c>
      <c r="R48" s="55">
        <f>(IF(COUNTIF(JF,Horaires356715[[#This Row],[Date]]),MAX(0,MIN(fin_dimJF,Horaires356715[[#This Row],[Fin corrigée si nuit]])-MAX(deb_dimJF,Horaires356715[[#This Row],[début]])),0)+IF(COUNTIF(JF,Horaires356715[[#This Row],[Date]]+1),MAX(0,Horaires356715[[#This Row],[Fin corrigée si nuit]]-(1+deb_dimJF)),0))*24</f>
        <v>0</v>
      </c>
      <c r="S48" s="55">
        <f>(IF(COUNTIF(JF,Horaires356715[[#This Row],[Date]]),MAX(0,MIN(fin_dimJF,Horaires356715[[#This Row],[Fin corrigée si nuit]])-MAX(deb_dimJF,Horaires356715[[#This Row],[début]])),0)+IF(COUNTIF(JF,Horaires356715[[#This Row],[Date]]+1),MAX(0,Horaires356715[[#This Row],[Fin corrigée si nuit]]-(1+deb_dimJF)),0))*24-
(IF(COUNTIF(JF,Horaires356715[[#This Row],[Date]]),MAX(0,MIN(fin_dimJF,Horaires356715[[#This Row],[PNP Fin corrigée]])-MAX(deb_dimJF,Horaires356715[[#This Row],[PNP Début corrigé]])),0)+IF(COUNTIF(JF,Horaires356715[[#This Row],[Date]]+1),MAX(0,Horaires356715[[#This Row],[PNP Fin corrigée]]-(1+deb_dimJF)),0))*24</f>
        <v>0</v>
      </c>
    </row>
    <row r="49" spans="1:19" ht="15" thickBot="1" x14ac:dyDescent="0.4">
      <c r="A49" s="5"/>
      <c r="B49" s="1"/>
      <c r="C49" s="2"/>
      <c r="D49" s="2"/>
      <c r="E49" s="3"/>
      <c r="F49" s="3"/>
      <c r="G49" s="3"/>
      <c r="H49" s="3"/>
      <c r="I49" s="51">
        <f>0.1*(Horaires356715[[#This Row],[Heures de nuit]]+Horaires356715[[#This Row],[heures jour dimanche]]+Horaires356715[[#This Row],[heures jour fériés]])</f>
        <v>0</v>
      </c>
      <c r="J49" s="52">
        <f>(MOD(Horaires356715[[#This Row],[Fin]]-Horaires356715[[#This Row],[début]],1)-MOD(Horaires356715[[#This Row],[PNP Fin]]-Horaires356715[[#This Row],[PNP Début]],1))*24</f>
        <v>0</v>
      </c>
      <c r="K49" s="53">
        <f>IF(Horaires356715[[#This Row],[PNP Début]]=0,0,IF(Horaires356715[[#This Row],[PNP Début]]&lt;Horaires356715[[#This Row],[début]],1,0)+Horaires356715[[#This Row],[PNP Début]])</f>
        <v>0</v>
      </c>
      <c r="L49" s="54">
        <f>IF(Horaires356715[[#This Row],[PNP Fin]]=0,0,IF(Horaires356715[[#This Row],[PNP Fin]]&lt;Horaires356715[[#This Row],[début]],1,0)+Horaires356715[[#This Row],[PNP Fin]])</f>
        <v>0</v>
      </c>
      <c r="M49" s="54">
        <f>IF(Horaires356715[[#This Row],[Fin]]&lt;Horaires356715[[#This Row],[début]],1,0)+Horaires356715[[#This Row],[Fin]]</f>
        <v>0</v>
      </c>
      <c r="N49" s="35">
        <f>IF(Horaires356715[[#This Row],[Fin]]&lt;Horaires356715[[#This Row],[début]],MAX(0,MIN(Horaires356715[[#This Row],[Fin corrigée si nuit]],fin_nuit)-MAX(Horaires356715[[#This Row],[début]],deb_nuit))*24,(MAX(deb_nuit,Horaires356715[[#This Row],[Fin]])-MAX(deb_nuit,Horaires356715[[#This Row],[début]])+MAX(MIN(fin_nuit-1,Horaires356715[[#This Row],[Fin]])-MIN(fin_nuit-1,Horaires356715[[#This Row],[début]]),0))*24)</f>
        <v>0</v>
      </c>
      <c r="O49" s="55">
        <f>(MAX(0,MIN(Horaires356715[[#This Row],[Fin corrigée si nuit]],fin_nuit)-MAX(Horaires356715[[#This Row],[début]],deb_nuit))-IF(Horaires356715[[#This Row],[PNP Début]]=0,0,MIN(Horaires356715[[#This Row],[PNP Fin corrigée]],fin_nuit)-MAX(Horaires356715[[#This Row],[PNP Début corrigé]],deb_nuit)))*24</f>
        <v>0</v>
      </c>
      <c r="P49" s="55">
        <f>(IF(WEEKDAY(Horaires356715[[#This Row],[Date]],2)=7,MAX(0,MIN(fin_dimJF,Horaires356715[[#This Row],[Fin corrigée si nuit]])-MAX(deb_dimJF,Horaires356715[[#This Row],[début]])),0)+IF(WEEKDAY(Horaires356715[[#This Row],[Date]],2)=6,MAX(0,Horaires356715[[#This Row],[Fin corrigée si nuit]]-(1+deb_dimJF)),0))*24</f>
        <v>0</v>
      </c>
      <c r="Q49" s="55">
        <f>(IF(WEEKDAY(Horaires356715[[#This Row],[Date]],2)=7,MAX(0,MIN(fin_dimJF,Horaires356715[[#This Row],[Fin corrigée si nuit]])-MAX(deb_dimJF,Horaires356715[[#This Row],[début]])),0)+IF(WEEKDAY(Horaires356715[[#This Row],[Date]],2)=6,MAX(0,Horaires356715[[#This Row],[Fin corrigée si nuit]]-(1+deb_dimJF)),0))*24-
(IF(WEEKDAY(Horaires356715[[#This Row],[Date]],2)=7,MAX(0,MIN(fin_dimJF,Horaires356715[[#This Row],[PNP Fin corrigée]])-MAX(deb_dimJF,Horaires356715[[#This Row],[PNP Début corrigé]])),0)+IF(WEEKDAY(Horaires356715[[#This Row],[Date]],2)=6,MAX(0,Horaires356715[[#This Row],[PNP Fin corrigée]]-(1+deb_dimJF)),0))*24</f>
        <v>0</v>
      </c>
      <c r="R49" s="55">
        <f>(IF(COUNTIF(JF,Horaires356715[[#This Row],[Date]]),MAX(0,MIN(fin_dimJF,Horaires356715[[#This Row],[Fin corrigée si nuit]])-MAX(deb_dimJF,Horaires356715[[#This Row],[début]])),0)+IF(COUNTIF(JF,Horaires356715[[#This Row],[Date]]+1),MAX(0,Horaires356715[[#This Row],[Fin corrigée si nuit]]-(1+deb_dimJF)),0))*24</f>
        <v>0</v>
      </c>
      <c r="S49" s="55">
        <f>(IF(COUNTIF(JF,Horaires356715[[#This Row],[Date]]),MAX(0,MIN(fin_dimJF,Horaires356715[[#This Row],[Fin corrigée si nuit]])-MAX(deb_dimJF,Horaires356715[[#This Row],[début]])),0)+IF(COUNTIF(JF,Horaires356715[[#This Row],[Date]]+1),MAX(0,Horaires356715[[#This Row],[Fin corrigée si nuit]]-(1+deb_dimJF)),0))*24-
(IF(COUNTIF(JF,Horaires356715[[#This Row],[Date]]),MAX(0,MIN(fin_dimJF,Horaires356715[[#This Row],[PNP Fin corrigée]])-MAX(deb_dimJF,Horaires356715[[#This Row],[PNP Début corrigé]])),0)+IF(COUNTIF(JF,Horaires356715[[#This Row],[Date]]+1),MAX(0,Horaires356715[[#This Row],[PNP Fin corrigée]]-(1+deb_dimJF)),0))*24</f>
        <v>0</v>
      </c>
    </row>
    <row r="50" spans="1:19" ht="16" thickBot="1" x14ac:dyDescent="0.4">
      <c r="A50" s="56"/>
      <c r="B50" s="19"/>
      <c r="C50" s="19"/>
      <c r="D50" s="19"/>
      <c r="E50" s="113" t="s">
        <v>29</v>
      </c>
      <c r="F50" s="114"/>
      <c r="G50" s="114"/>
      <c r="H50" s="115"/>
      <c r="I50" s="57">
        <f>SUM(Horaires356715[Majoration])</f>
        <v>0</v>
      </c>
      <c r="J50" s="58">
        <f>SUM(Horaires356715[Heures totales payées])</f>
        <v>0</v>
      </c>
      <c r="K50" s="19"/>
      <c r="L50" s="19"/>
      <c r="M50" s="19"/>
      <c r="N50" s="19"/>
      <c r="O50" s="19"/>
      <c r="P50" s="19"/>
      <c r="Q50" s="19"/>
      <c r="R50" s="19"/>
      <c r="S50" s="19"/>
    </row>
    <row r="51" spans="1:19" ht="17.399999999999999" customHeight="1" x14ac:dyDescent="0.35">
      <c r="A51" s="116" t="s">
        <v>30</v>
      </c>
      <c r="B51" s="116"/>
      <c r="C51" s="116"/>
      <c r="D51" s="116"/>
      <c r="E51" s="19"/>
      <c r="F51" s="19"/>
      <c r="G51" s="117" t="s">
        <v>31</v>
      </c>
      <c r="H51" s="117"/>
      <c r="I51" s="117"/>
      <c r="J51" s="117"/>
      <c r="K51" s="19"/>
      <c r="L51" s="19"/>
      <c r="M51" s="19"/>
      <c r="N51" s="19"/>
      <c r="O51" s="19"/>
      <c r="P51" s="19"/>
      <c r="Q51" s="19"/>
      <c r="R51" s="19"/>
      <c r="S51" s="19"/>
    </row>
    <row r="52" spans="1:19" x14ac:dyDescent="0.35">
      <c r="A52" s="118"/>
      <c r="B52" s="119"/>
      <c r="C52" s="119"/>
      <c r="D52" s="120"/>
      <c r="E52" s="56"/>
      <c r="F52" s="19"/>
      <c r="G52" s="118"/>
      <c r="H52" s="119"/>
      <c r="I52" s="119"/>
      <c r="J52" s="119"/>
      <c r="K52" s="19"/>
      <c r="L52" s="19"/>
      <c r="M52" s="19"/>
      <c r="N52" s="19"/>
      <c r="O52" s="19"/>
      <c r="P52" s="19"/>
      <c r="Q52" s="19"/>
      <c r="R52" s="19"/>
      <c r="S52" s="19"/>
    </row>
    <row r="53" spans="1:19" x14ac:dyDescent="0.35">
      <c r="A53" s="121"/>
      <c r="B53" s="122"/>
      <c r="C53" s="122"/>
      <c r="D53" s="123"/>
      <c r="E53" s="19"/>
      <c r="F53" s="19"/>
      <c r="G53" s="121"/>
      <c r="H53" s="122"/>
      <c r="I53" s="122"/>
      <c r="J53" s="122"/>
      <c r="K53" s="19"/>
      <c r="L53" s="19"/>
      <c r="M53" s="19"/>
      <c r="N53" s="19"/>
      <c r="O53" s="19"/>
      <c r="P53" s="19"/>
      <c r="Q53" s="19"/>
      <c r="R53" s="19"/>
      <c r="S53" s="19"/>
    </row>
    <row r="54" spans="1:19" ht="7.75" customHeight="1" x14ac:dyDescent="0.35">
      <c r="A54" s="124"/>
      <c r="B54" s="125"/>
      <c r="C54" s="125"/>
      <c r="D54" s="126"/>
      <c r="E54" s="56"/>
      <c r="F54" s="19"/>
      <c r="G54" s="124"/>
      <c r="H54" s="125"/>
      <c r="I54" s="125"/>
      <c r="J54" s="125"/>
      <c r="K54" s="19"/>
      <c r="L54" s="19"/>
      <c r="M54" s="19"/>
      <c r="N54" s="19"/>
      <c r="O54" s="19"/>
      <c r="P54" s="19"/>
      <c r="Q54" s="19"/>
      <c r="R54" s="19"/>
      <c r="S54" s="19"/>
    </row>
    <row r="55" spans="1:19" x14ac:dyDescent="0.35">
      <c r="A55" s="56"/>
      <c r="B55" s="19"/>
      <c r="C55" s="19"/>
      <c r="D55" s="19"/>
      <c r="E55" s="19"/>
      <c r="F55" s="19"/>
      <c r="G55" s="19"/>
      <c r="H55" s="19"/>
      <c r="I55" s="19"/>
      <c r="J55" s="62"/>
      <c r="K55" s="19"/>
      <c r="L55" s="19"/>
      <c r="M55" s="19"/>
      <c r="N55" s="19"/>
      <c r="O55" s="19"/>
      <c r="P55" s="19"/>
      <c r="Q55" s="19"/>
      <c r="R55" s="19"/>
      <c r="S55" s="19"/>
    </row>
    <row r="56" spans="1:19" x14ac:dyDescent="0.35">
      <c r="A56" s="19"/>
      <c r="B56" s="19"/>
      <c r="C56" s="19"/>
      <c r="D56" s="19"/>
      <c r="E56" s="19"/>
      <c r="F56" s="19"/>
      <c r="G56" s="19"/>
      <c r="H56" s="19"/>
      <c r="I56" s="19"/>
      <c r="J56" s="20"/>
      <c r="K56" s="19"/>
      <c r="L56" s="19"/>
      <c r="M56" s="19"/>
      <c r="N56" s="19"/>
      <c r="O56" s="19"/>
      <c r="P56" s="19"/>
      <c r="Q56" s="19"/>
      <c r="R56" s="19"/>
      <c r="S56" s="19"/>
    </row>
    <row r="57" spans="1:19" x14ac:dyDescent="0.35">
      <c r="A57" s="19"/>
      <c r="B57" s="19"/>
      <c r="C57" s="19"/>
      <c r="D57" s="19"/>
      <c r="E57" s="19"/>
      <c r="F57" s="19"/>
      <c r="G57" s="19"/>
      <c r="H57" s="19"/>
      <c r="I57" s="19"/>
      <c r="J57" s="20"/>
      <c r="K57" s="19"/>
      <c r="L57" s="19"/>
      <c r="M57" s="19"/>
      <c r="N57" s="19"/>
      <c r="O57" s="19"/>
      <c r="P57" s="19"/>
      <c r="Q57" s="19"/>
      <c r="R57" s="19"/>
      <c r="S57" s="19"/>
    </row>
    <row r="58" spans="1:19" x14ac:dyDescent="0.35">
      <c r="A58" s="19"/>
      <c r="B58" s="19"/>
      <c r="C58" s="19"/>
      <c r="D58" s="19"/>
      <c r="E58" s="19"/>
      <c r="F58" s="19"/>
      <c r="G58" s="19"/>
      <c r="H58" s="19"/>
      <c r="I58" s="19"/>
      <c r="J58" s="20"/>
      <c r="K58" s="19"/>
      <c r="L58" s="19"/>
      <c r="M58" s="19"/>
      <c r="N58" s="19"/>
      <c r="O58" s="19"/>
      <c r="P58" s="19"/>
      <c r="Q58" s="19"/>
      <c r="R58" s="19"/>
      <c r="S58" s="19"/>
    </row>
    <row r="59" spans="1:19" x14ac:dyDescent="0.35">
      <c r="A59" s="19"/>
      <c r="B59" s="19"/>
      <c r="C59" s="19"/>
      <c r="D59" s="19"/>
      <c r="E59" s="19"/>
      <c r="F59" s="19"/>
      <c r="G59" s="19"/>
      <c r="H59" s="19"/>
      <c r="I59" s="19"/>
      <c r="J59" s="20"/>
      <c r="K59" s="19"/>
      <c r="L59" s="19"/>
      <c r="M59" s="19"/>
      <c r="N59" s="19"/>
      <c r="O59" s="19"/>
      <c r="P59" s="19"/>
      <c r="Q59" s="19"/>
      <c r="R59" s="19"/>
      <c r="S59" s="19"/>
    </row>
    <row r="60" spans="1:19" x14ac:dyDescent="0.35">
      <c r="A60" s="19"/>
      <c r="B60" s="19"/>
      <c r="C60" s="19"/>
      <c r="D60" s="19"/>
      <c r="E60" s="19"/>
      <c r="F60" s="19"/>
      <c r="G60" s="19"/>
      <c r="H60" s="19"/>
      <c r="I60" s="19"/>
      <c r="J60" s="20"/>
      <c r="K60" s="19"/>
      <c r="L60" s="19"/>
      <c r="M60" s="19"/>
      <c r="N60" s="19"/>
      <c r="O60" s="19"/>
      <c r="P60" s="19"/>
      <c r="Q60" s="19"/>
      <c r="R60" s="19"/>
      <c r="S60" s="19"/>
    </row>
  </sheetData>
  <sheetProtection selectLockedCells="1"/>
  <mergeCells count="19">
    <mergeCell ref="E50:H50"/>
    <mergeCell ref="A51:D51"/>
    <mergeCell ref="G51:J51"/>
    <mergeCell ref="A52:D54"/>
    <mergeCell ref="G52:J54"/>
    <mergeCell ref="A1:B2"/>
    <mergeCell ref="A3:J4"/>
    <mergeCell ref="D5:F5"/>
    <mergeCell ref="G5:H5"/>
    <mergeCell ref="J9:J11"/>
    <mergeCell ref="C10:C11"/>
    <mergeCell ref="D10:D11"/>
    <mergeCell ref="E10:F10"/>
    <mergeCell ref="G10:H10"/>
    <mergeCell ref="A9:A11"/>
    <mergeCell ref="B9:B11"/>
    <mergeCell ref="C9:D9"/>
    <mergeCell ref="E9:H9"/>
    <mergeCell ref="I9:I11"/>
  </mergeCells>
  <dataValidations count="3">
    <dataValidation allowBlank="1" showInputMessage="1" showErrorMessage="1" error="Tapez les heures sous le format_x000a_00:00" sqref="K12:N49"/>
    <dataValidation type="time" allowBlank="1" showInputMessage="1" showErrorMessage="1" error="Tapez les heures sous le format_x000a_00:00" sqref="C13:H49">
      <formula1>0</formula1>
      <formula2>0.999305555555556</formula2>
    </dataValidation>
    <dataValidation type="date" operator="greaterThan" allowBlank="1" showInputMessage="1" showErrorMessage="1" error="Tapez le mois sous le format suivant_x000a_09/17" promptTitle="Mois du relevé" sqref="J5">
      <formula1>42736</formula1>
    </dataValidation>
  </dataValidations>
  <printOptions horizontalCentered="1"/>
  <pageMargins left="0" right="0" top="0" bottom="0" header="0" footer="0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11265" r:id="rId4" name="CommandButton1">
          <controlPr defaultSize="0" print="0" autoLine="0" r:id="rId5">
            <anchor moveWithCells="1">
              <from>
                <xdr:col>19</xdr:col>
                <xdr:colOff>0</xdr:colOff>
                <xdr:row>0</xdr:row>
                <xdr:rowOff>165100</xdr:rowOff>
              </from>
              <to>
                <xdr:col>20</xdr:col>
                <xdr:colOff>31750</xdr:colOff>
                <xdr:row>4</xdr:row>
                <xdr:rowOff>50800</xdr:rowOff>
              </to>
            </anchor>
          </controlPr>
        </control>
      </mc:Choice>
      <mc:Fallback>
        <control shapeId="11265" r:id="rId4" name="CommandButton1"/>
      </mc:Fallback>
    </mc:AlternateContent>
  </controls>
  <tableParts count="1">
    <tablePart r:id="rId6"/>
  </tableParts>
</worksheet>
</file>

<file path=xl/worksheets/sheet1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2"/>
  <dimension ref="A1:S60"/>
  <sheetViews>
    <sheetView workbookViewId="0">
      <selection activeCell="T14" sqref="T14"/>
    </sheetView>
  </sheetViews>
  <sheetFormatPr baseColWidth="10" defaultRowHeight="14.5" x14ac:dyDescent="0.35"/>
  <cols>
    <col min="1" max="1" width="20.453125" customWidth="1"/>
    <col min="2" max="2" width="12.90625" customWidth="1"/>
    <col min="3" max="3" width="8.90625" customWidth="1"/>
    <col min="4" max="4" width="7.453125" customWidth="1"/>
    <col min="5" max="5" width="7" customWidth="1"/>
    <col min="6" max="6" width="6.81640625" customWidth="1"/>
    <col min="7" max="7" width="7" customWidth="1"/>
    <col min="8" max="8" width="7.81640625" customWidth="1"/>
    <col min="9" max="9" width="10.81640625" customWidth="1"/>
    <col min="10" max="10" width="11.54296875" style="15" customWidth="1"/>
    <col min="11" max="11" width="14.453125" hidden="1" customWidth="1"/>
    <col min="12" max="12" width="12.08984375" hidden="1" customWidth="1"/>
    <col min="13" max="13" width="15" hidden="1" customWidth="1"/>
    <col min="14" max="15" width="13.81640625" hidden="1" customWidth="1"/>
    <col min="16" max="19" width="15" hidden="1" customWidth="1"/>
  </cols>
  <sheetData>
    <row r="1" spans="1:19" ht="15.65" customHeight="1" x14ac:dyDescent="0.35">
      <c r="A1" s="101" t="s">
        <v>48</v>
      </c>
      <c r="B1" s="101"/>
      <c r="C1" s="16"/>
      <c r="D1" s="16"/>
      <c r="E1" s="17"/>
      <c r="F1" s="17"/>
      <c r="G1" s="17"/>
      <c r="H1" s="18" t="s">
        <v>35</v>
      </c>
      <c r="I1" s="18"/>
      <c r="J1" s="18"/>
      <c r="K1" s="16"/>
      <c r="L1" s="16"/>
      <c r="M1" s="16"/>
      <c r="N1" s="16"/>
      <c r="O1" s="19"/>
      <c r="P1" s="19"/>
      <c r="Q1" s="19"/>
      <c r="R1" s="19"/>
      <c r="S1" s="19"/>
    </row>
    <row r="2" spans="1:19" ht="14.4" customHeight="1" x14ac:dyDescent="0.35">
      <c r="A2" s="101"/>
      <c r="B2" s="101"/>
      <c r="C2" s="16"/>
      <c r="D2" s="16"/>
      <c r="E2" s="16"/>
      <c r="F2" s="16"/>
      <c r="G2" s="16"/>
      <c r="H2" s="16"/>
      <c r="I2" s="16"/>
      <c r="J2" s="20"/>
      <c r="K2" s="16"/>
      <c r="L2" s="16"/>
      <c r="M2" s="16"/>
      <c r="N2" s="16"/>
      <c r="O2" s="19"/>
      <c r="P2" s="19"/>
      <c r="Q2" s="19"/>
      <c r="R2" s="19"/>
      <c r="S2" s="19"/>
    </row>
    <row r="3" spans="1:19" ht="14.4" customHeight="1" x14ac:dyDescent="0.35">
      <c r="A3" s="102" t="s">
        <v>37</v>
      </c>
      <c r="B3" s="102"/>
      <c r="C3" s="102"/>
      <c r="D3" s="102"/>
      <c r="E3" s="102"/>
      <c r="F3" s="102"/>
      <c r="G3" s="102"/>
      <c r="H3" s="102"/>
      <c r="I3" s="102"/>
      <c r="J3" s="102"/>
      <c r="K3" s="16"/>
      <c r="L3" s="16"/>
      <c r="M3" s="16"/>
      <c r="N3" s="16"/>
      <c r="O3" s="19"/>
      <c r="P3" s="19"/>
      <c r="Q3" s="19"/>
      <c r="R3" s="19"/>
      <c r="S3" s="19"/>
    </row>
    <row r="4" spans="1:19" ht="19.25" customHeight="1" thickBot="1" x14ac:dyDescent="0.4">
      <c r="A4" s="103"/>
      <c r="B4" s="103"/>
      <c r="C4" s="103"/>
      <c r="D4" s="103"/>
      <c r="E4" s="103"/>
      <c r="F4" s="103"/>
      <c r="G4" s="103"/>
      <c r="H4" s="103"/>
      <c r="I4" s="103"/>
      <c r="J4" s="103"/>
      <c r="K4" s="19"/>
      <c r="L4" s="19"/>
      <c r="M4" s="19"/>
      <c r="N4" s="19"/>
      <c r="O4" s="19"/>
      <c r="P4" s="19"/>
      <c r="Q4" s="19"/>
      <c r="R4" s="19"/>
      <c r="S4" s="19"/>
    </row>
    <row r="5" spans="1:19" ht="19.75" customHeight="1" x14ac:dyDescent="0.35">
      <c r="A5" s="95" t="s">
        <v>113</v>
      </c>
      <c r="B5" s="96">
        <f>'Janvier 18'!B5</f>
        <v>0</v>
      </c>
      <c r="C5" s="21" t="s">
        <v>36</v>
      </c>
      <c r="D5" s="104">
        <f>'Janvier 18'!D5:F5</f>
        <v>0</v>
      </c>
      <c r="E5" s="105"/>
      <c r="F5" s="105"/>
      <c r="G5" s="106" t="s">
        <v>22</v>
      </c>
      <c r="H5" s="106"/>
      <c r="I5" s="64" t="str">
        <f ca="1">MID(CELL("filename",A1),FIND("]",CELL("filename",A1))+1,99)</f>
        <v>Septembre 18</v>
      </c>
      <c r="J5" s="97"/>
      <c r="K5" s="19"/>
      <c r="L5" s="19"/>
      <c r="M5" s="19"/>
      <c r="N5" s="19"/>
      <c r="O5" s="19"/>
      <c r="P5" s="19"/>
      <c r="Q5" s="19"/>
      <c r="R5" s="19"/>
      <c r="S5" s="19"/>
    </row>
    <row r="6" spans="1:19" ht="9.65" customHeight="1" x14ac:dyDescent="0.35">
      <c r="A6" s="22"/>
      <c r="B6" s="23"/>
      <c r="C6" s="23"/>
      <c r="D6" s="23"/>
      <c r="E6" s="23"/>
      <c r="F6" s="23"/>
      <c r="G6" s="23"/>
      <c r="H6" s="23"/>
      <c r="I6" s="23"/>
      <c r="J6" s="24"/>
      <c r="K6" s="19"/>
      <c r="L6" s="19"/>
      <c r="M6" s="19"/>
      <c r="N6" s="19"/>
      <c r="O6" s="19"/>
      <c r="P6" s="19"/>
      <c r="Q6" s="19"/>
      <c r="R6" s="19"/>
      <c r="S6" s="19"/>
    </row>
    <row r="7" spans="1:19" ht="15" thickBot="1" x14ac:dyDescent="0.4">
      <c r="A7" s="59" t="s">
        <v>23</v>
      </c>
      <c r="B7" s="98">
        <f>'Janvier 18'!B7</f>
        <v>0</v>
      </c>
      <c r="C7" s="25" t="s">
        <v>24</v>
      </c>
      <c r="D7" s="25"/>
      <c r="E7" s="98">
        <f>'Janvier 18'!E7</f>
        <v>0</v>
      </c>
      <c r="F7" s="25"/>
      <c r="G7" s="25"/>
      <c r="H7" s="25"/>
      <c r="I7" s="25"/>
      <c r="J7" s="26"/>
      <c r="K7" s="19"/>
      <c r="L7" s="19"/>
      <c r="M7" s="19"/>
      <c r="N7" s="19"/>
      <c r="O7" s="19"/>
      <c r="P7" s="19"/>
      <c r="Q7" s="19"/>
      <c r="R7" s="19"/>
      <c r="S7" s="19"/>
    </row>
    <row r="8" spans="1:19" ht="9.65" customHeight="1" x14ac:dyDescent="0.35">
      <c r="A8" s="19"/>
      <c r="B8" s="19"/>
      <c r="C8" s="19"/>
      <c r="D8" s="19"/>
      <c r="E8" s="19"/>
      <c r="F8" s="19"/>
      <c r="G8" s="19"/>
      <c r="H8" s="19"/>
      <c r="I8" s="19"/>
      <c r="J8" s="20"/>
      <c r="K8" s="19"/>
      <c r="L8" s="19"/>
      <c r="M8" s="19"/>
      <c r="N8" s="19"/>
      <c r="O8" s="19"/>
      <c r="P8" s="19"/>
      <c r="Q8" s="19"/>
      <c r="R8" s="19"/>
      <c r="S8" s="19"/>
    </row>
    <row r="9" spans="1:19" ht="16.75" customHeight="1" x14ac:dyDescent="0.35">
      <c r="A9" s="111" t="s">
        <v>0</v>
      </c>
      <c r="B9" s="111" t="s">
        <v>1</v>
      </c>
      <c r="C9" s="111" t="s">
        <v>2</v>
      </c>
      <c r="D9" s="111"/>
      <c r="E9" s="110" t="s">
        <v>25</v>
      </c>
      <c r="F9" s="110"/>
      <c r="G9" s="110"/>
      <c r="H9" s="110"/>
      <c r="I9" s="112" t="s">
        <v>21</v>
      </c>
      <c r="J9" s="108" t="s">
        <v>65</v>
      </c>
      <c r="K9" s="19"/>
      <c r="L9" s="19"/>
      <c r="M9" s="19"/>
      <c r="N9" s="19"/>
      <c r="O9" s="19"/>
      <c r="P9" s="19"/>
      <c r="Q9" s="19"/>
      <c r="R9" s="19"/>
      <c r="S9" s="19"/>
    </row>
    <row r="10" spans="1:19" x14ac:dyDescent="0.35">
      <c r="A10" s="111"/>
      <c r="B10" s="111"/>
      <c r="C10" s="109" t="s">
        <v>3</v>
      </c>
      <c r="D10" s="109" t="s">
        <v>4</v>
      </c>
      <c r="E10" s="110" t="s">
        <v>26</v>
      </c>
      <c r="F10" s="110"/>
      <c r="G10" s="110" t="s">
        <v>27</v>
      </c>
      <c r="H10" s="110"/>
      <c r="I10" s="112"/>
      <c r="J10" s="108"/>
      <c r="K10" s="19"/>
      <c r="L10" s="19"/>
      <c r="M10" s="19"/>
      <c r="N10" s="19"/>
      <c r="O10" s="19"/>
      <c r="P10" s="19"/>
      <c r="Q10" s="19"/>
      <c r="R10" s="19"/>
      <c r="S10" s="19"/>
    </row>
    <row r="11" spans="1:19" x14ac:dyDescent="0.35">
      <c r="A11" s="111"/>
      <c r="B11" s="111"/>
      <c r="C11" s="109"/>
      <c r="D11" s="109"/>
      <c r="E11" s="72" t="s">
        <v>28</v>
      </c>
      <c r="F11" s="72" t="s">
        <v>4</v>
      </c>
      <c r="G11" s="72" t="s">
        <v>28</v>
      </c>
      <c r="H11" s="72" t="s">
        <v>4</v>
      </c>
      <c r="I11" s="112"/>
      <c r="J11" s="108"/>
      <c r="K11" s="27"/>
      <c r="L11" s="19"/>
      <c r="M11" s="19"/>
      <c r="N11" s="19"/>
      <c r="O11" s="19"/>
      <c r="P11" s="19"/>
      <c r="Q11" s="19"/>
      <c r="R11" s="19"/>
      <c r="S11" s="19"/>
    </row>
    <row r="12" spans="1:19" s="8" customFormat="1" ht="43.5" hidden="1" x14ac:dyDescent="0.35">
      <c r="A12" s="28" t="s">
        <v>0</v>
      </c>
      <c r="B12" s="29" t="s">
        <v>1</v>
      </c>
      <c r="C12" s="29" t="s">
        <v>3</v>
      </c>
      <c r="D12" s="29" t="s">
        <v>4</v>
      </c>
      <c r="E12" s="29" t="s">
        <v>8</v>
      </c>
      <c r="F12" s="29" t="s">
        <v>9</v>
      </c>
      <c r="G12" s="29" t="s">
        <v>10</v>
      </c>
      <c r="H12" s="29" t="s">
        <v>11</v>
      </c>
      <c r="I12" s="30" t="s">
        <v>21</v>
      </c>
      <c r="J12" s="29" t="s">
        <v>12</v>
      </c>
      <c r="K12" s="29" t="s">
        <v>18</v>
      </c>
      <c r="L12" s="29" t="s">
        <v>19</v>
      </c>
      <c r="M12" s="29" t="s">
        <v>17</v>
      </c>
      <c r="N12" s="29" t="s">
        <v>32</v>
      </c>
      <c r="O12" s="29" t="s">
        <v>20</v>
      </c>
      <c r="P12" s="29" t="s">
        <v>5</v>
      </c>
      <c r="Q12" s="29" t="s">
        <v>33</v>
      </c>
      <c r="R12" s="31" t="s">
        <v>6</v>
      </c>
      <c r="S12" s="31" t="s">
        <v>34</v>
      </c>
    </row>
    <row r="13" spans="1:19" x14ac:dyDescent="0.35">
      <c r="A13" s="5"/>
      <c r="B13" s="1"/>
      <c r="C13" s="2"/>
      <c r="D13" s="2"/>
      <c r="E13" s="3"/>
      <c r="F13" s="3"/>
      <c r="G13" s="3"/>
      <c r="H13" s="3"/>
      <c r="I13" s="32">
        <f>0.1*(Horaires3567314[[#This Row],[Heures de nuit]]+Horaires3567314[[#This Row],[heures jour dimanche]]+Horaires3567314[[#This Row],[heures jour fériés]])</f>
        <v>0</v>
      </c>
      <c r="J13" s="33">
        <f>(MOD(Horaires3567314[[#This Row],[Fin]]-Horaires3567314[[#This Row],[début]],1)-MOD(Horaires3567314[[#This Row],[PNP Fin]]-Horaires3567314[[#This Row],[PNP Début]],1))*24</f>
        <v>0</v>
      </c>
      <c r="K13" s="34">
        <f>IF(Horaires3567314[[#This Row],[PNP Début]]=0,0,IF(Horaires3567314[[#This Row],[PNP Début]]&lt;Horaires3567314[[#This Row],[début]],1,0)+Horaires3567314[[#This Row],[PNP Début]])</f>
        <v>0</v>
      </c>
      <c r="L13" s="34">
        <f>IF(Horaires3567314[[#This Row],[PNP Fin]]=0,0,IF(Horaires3567314[[#This Row],[PNP Fin]]&lt;Horaires3567314[[#This Row],[début]],1,0)+Horaires3567314[[#This Row],[PNP Fin]])</f>
        <v>0</v>
      </c>
      <c r="M13" s="34">
        <f>IF(Horaires3567314[[#This Row],[Fin]]&lt;Horaires3567314[[#This Row],[début]],1,0)+Horaires3567314[[#This Row],[Fin]]</f>
        <v>0</v>
      </c>
      <c r="N13" s="35">
        <f>IF(Horaires3567314[[#This Row],[Fin]]&lt;Horaires3567314[[#This Row],[début]],MAX(0,MIN(Horaires3567314[[#This Row],[Fin corrigée si nuit]],fin_nuit)-MAX(Horaires3567314[[#This Row],[début]],deb_nuit))*24,(MAX(deb_nuit,Horaires3567314[[#This Row],[Fin]])-MAX(deb_nuit,Horaires3567314[[#This Row],[début]])+MAX(MIN(fin_nuit-1,Horaires3567314[[#This Row],[Fin]])-MIN(fin_nuit-1,Horaires3567314[[#This Row],[début]]),0))*24)</f>
        <v>0</v>
      </c>
      <c r="O13" s="35">
        <f>(MAX(0,MIN(Horaires3567314[[#This Row],[Fin corrigée si nuit]],fin_nuit)-MAX(Horaires3567314[[#This Row],[début]],deb_nuit))-IF(Horaires3567314[[#This Row],[PNP Début]]=0,0,MIN(Horaires3567314[[#This Row],[PNP Fin corrigée]],fin_nuit)-MAX(Horaires3567314[[#This Row],[PNP Début corrigé]],deb_nuit)))*24</f>
        <v>0</v>
      </c>
      <c r="P13" s="35">
        <f>(IF(WEEKDAY(Horaires3567314[[#This Row],[Date]],2)=7,MAX(0,MIN(fin_dimJF,Horaires3567314[[#This Row],[Fin corrigée si nuit]])-MAX(deb_dimJF,Horaires3567314[[#This Row],[début]])),0)+IF(WEEKDAY(Horaires3567314[[#This Row],[Date]],2)=6,MAX(0,Horaires3567314[[#This Row],[Fin corrigée si nuit]]-(1+deb_dimJF)),0))*24</f>
        <v>0</v>
      </c>
      <c r="Q13" s="35">
        <f>(IF(WEEKDAY(Horaires3567314[[#This Row],[Date]],2)=7,MAX(0,MIN(fin_dimJF,Horaires3567314[[#This Row],[Fin corrigée si nuit]])-MAX(deb_dimJF,Horaires3567314[[#This Row],[début]])),0)+IF(WEEKDAY(Horaires3567314[[#This Row],[Date]],2)=6,MAX(0,Horaires3567314[[#This Row],[Fin corrigée si nuit]]-(1+deb_dimJF)),0))*24-
(IF(WEEKDAY(Horaires3567314[[#This Row],[Date]],2)=7,MAX(0,MIN(fin_dimJF,Horaires3567314[[#This Row],[PNP Fin corrigée]])-MAX(deb_dimJF,Horaires3567314[[#This Row],[PNP Début corrigé]])),0)+IF(WEEKDAY(Horaires3567314[[#This Row],[Date]],2)=6,MAX(0,Horaires3567314[[#This Row],[PNP Fin corrigée]]-(1+deb_dimJF)),0))*24</f>
        <v>0</v>
      </c>
      <c r="R13" s="36">
        <f>(IF(COUNTIF(JF,Horaires3567314[[#This Row],[Date]]),MAX(0,MIN(fin_dimJF,Horaires3567314[[#This Row],[Fin corrigée si nuit]])-MAX(deb_dimJF,Horaires3567314[[#This Row],[début]])),0)+IF(COUNTIF(JF,Horaires3567314[[#This Row],[Date]]+1),MAX(0,Horaires3567314[[#This Row],[Fin corrigée si nuit]]-(1+deb_dimJF)),0))*24</f>
        <v>0</v>
      </c>
      <c r="S13" s="36">
        <f>(IF(COUNTIF(JF,Horaires3567314[[#This Row],[Date]]),MAX(0,MIN(fin_dimJF,Horaires3567314[[#This Row],[Fin corrigée si nuit]])-MAX(deb_dimJF,Horaires3567314[[#This Row],[début]])),0)+IF(COUNTIF(JF,Horaires3567314[[#This Row],[Date]]+1),MAX(0,Horaires3567314[[#This Row],[Fin corrigée si nuit]]-(1+deb_dimJF)),0))*24-
(IF(COUNTIF(JF,Horaires3567314[[#This Row],[Date]]),MAX(0,MIN(fin_dimJF,Horaires3567314[[#This Row],[PNP Fin corrigée]])-MAX(deb_dimJF,Horaires3567314[[#This Row],[PNP Début corrigé]])),0)+IF(COUNTIF(JF,Horaires3567314[[#This Row],[Date]]+1),MAX(0,Horaires3567314[[#This Row],[PNP Fin corrigée]]-(1+deb_dimJF)),0))*24</f>
        <v>0</v>
      </c>
    </row>
    <row r="14" spans="1:19" x14ac:dyDescent="0.35">
      <c r="A14" s="5"/>
      <c r="B14" s="1"/>
      <c r="C14" s="2"/>
      <c r="D14" s="2"/>
      <c r="E14" s="3"/>
      <c r="F14" s="3"/>
      <c r="G14" s="3"/>
      <c r="H14" s="3"/>
      <c r="I14" s="32">
        <f>0.1*(Horaires3567314[[#This Row],[Heures de nuit]]+Horaires3567314[[#This Row],[heures jour dimanche]]+Horaires3567314[[#This Row],[heures jour fériés]])</f>
        <v>0</v>
      </c>
      <c r="J14" s="33">
        <f>(MOD(Horaires3567314[[#This Row],[Fin]]-Horaires3567314[[#This Row],[début]],1)-MOD(Horaires3567314[[#This Row],[PNP Fin]]-Horaires3567314[[#This Row],[PNP Début]],1))*24</f>
        <v>0</v>
      </c>
      <c r="K14" s="34">
        <f>IF(Horaires3567314[[#This Row],[PNP Début]]=0,0,IF(Horaires3567314[[#This Row],[PNP Début]]&lt;Horaires3567314[[#This Row],[début]],1,0)+Horaires3567314[[#This Row],[PNP Début]])</f>
        <v>0</v>
      </c>
      <c r="L14" s="34">
        <f>IF(Horaires3567314[[#This Row],[PNP Fin]]=0,0,IF(Horaires3567314[[#This Row],[PNP Fin]]&lt;Horaires3567314[[#This Row],[début]],1,0)+Horaires3567314[[#This Row],[PNP Fin]])</f>
        <v>0</v>
      </c>
      <c r="M14" s="34">
        <f>IF(Horaires3567314[[#This Row],[Fin]]&lt;Horaires3567314[[#This Row],[début]],1,0)+Horaires3567314[[#This Row],[Fin]]</f>
        <v>0</v>
      </c>
      <c r="N14" s="35">
        <f>IF(Horaires3567314[[#This Row],[Fin]]&lt;Horaires3567314[[#This Row],[début]],MAX(0,MIN(Horaires3567314[[#This Row],[Fin corrigée si nuit]],fin_nuit)-MAX(Horaires3567314[[#This Row],[début]],deb_nuit))*24,(MAX(deb_nuit,Horaires3567314[[#This Row],[Fin]])-MAX(deb_nuit,Horaires3567314[[#This Row],[début]])+MAX(MIN(fin_nuit-1,Horaires3567314[[#This Row],[Fin]])-MIN(fin_nuit-1,Horaires3567314[[#This Row],[début]]),0))*24)</f>
        <v>0</v>
      </c>
      <c r="O14" s="35">
        <f>(MAX(0,MIN(Horaires3567314[[#This Row],[Fin corrigée si nuit]],fin_nuit)-MAX(Horaires3567314[[#This Row],[début]],deb_nuit))-IF(Horaires3567314[[#This Row],[PNP Début]]=0,0,MIN(Horaires3567314[[#This Row],[PNP Fin corrigée]],fin_nuit)-MAX(Horaires3567314[[#This Row],[PNP Début corrigé]],deb_nuit)))*24</f>
        <v>0</v>
      </c>
      <c r="P14" s="35">
        <f>(IF(WEEKDAY(Horaires3567314[[#This Row],[Date]],2)=7,MAX(0,MIN(fin_dimJF,Horaires3567314[[#This Row],[Fin corrigée si nuit]])-MAX(deb_dimJF,Horaires3567314[[#This Row],[début]])),0)+IF(WEEKDAY(Horaires3567314[[#This Row],[Date]],2)=6,MAX(0,Horaires3567314[[#This Row],[Fin corrigée si nuit]]-(1+deb_dimJF)),0))*24</f>
        <v>0</v>
      </c>
      <c r="Q14" s="35">
        <f>(IF(WEEKDAY(Horaires3567314[[#This Row],[Date]],2)=7,MAX(0,MIN(fin_dimJF,Horaires3567314[[#This Row],[Fin corrigée si nuit]])-MAX(deb_dimJF,Horaires3567314[[#This Row],[début]])),0)+IF(WEEKDAY(Horaires3567314[[#This Row],[Date]],2)=6,MAX(0,Horaires3567314[[#This Row],[Fin corrigée si nuit]]-(1+deb_dimJF)),0))*24-
(IF(WEEKDAY(Horaires3567314[[#This Row],[Date]],2)=7,MAX(0,MIN(fin_dimJF,Horaires3567314[[#This Row],[PNP Fin corrigée]])-MAX(deb_dimJF,Horaires3567314[[#This Row],[PNP Début corrigé]])),0)+IF(WEEKDAY(Horaires3567314[[#This Row],[Date]],2)=6,MAX(0,Horaires3567314[[#This Row],[PNP Fin corrigée]]-(1+deb_dimJF)),0))*24</f>
        <v>0</v>
      </c>
      <c r="R14" s="36">
        <f>(IF(COUNTIF(JF,Horaires3567314[[#This Row],[Date]]),MAX(0,MIN(fin_dimJF,Horaires3567314[[#This Row],[Fin corrigée si nuit]])-MAX(deb_dimJF,Horaires3567314[[#This Row],[début]])),0)+IF(COUNTIF(JF,Horaires3567314[[#This Row],[Date]]+1),MAX(0,Horaires3567314[[#This Row],[Fin corrigée si nuit]]-(1+deb_dimJF)),0))*24</f>
        <v>0</v>
      </c>
      <c r="S14" s="36">
        <f>(IF(COUNTIF(JF,Horaires3567314[[#This Row],[Date]]),MAX(0,MIN(fin_dimJF,Horaires3567314[[#This Row],[Fin corrigée si nuit]])-MAX(deb_dimJF,Horaires3567314[[#This Row],[début]])),0)+IF(COUNTIF(JF,Horaires3567314[[#This Row],[Date]]+1),MAX(0,Horaires3567314[[#This Row],[Fin corrigée si nuit]]-(1+deb_dimJF)),0))*24-
(IF(COUNTIF(JF,Horaires3567314[[#This Row],[Date]]),MAX(0,MIN(fin_dimJF,Horaires3567314[[#This Row],[PNP Fin corrigée]])-MAX(deb_dimJF,Horaires3567314[[#This Row],[PNP Début corrigé]])),0)+IF(COUNTIF(JF,Horaires3567314[[#This Row],[Date]]+1),MAX(0,Horaires3567314[[#This Row],[PNP Fin corrigée]]-(1+deb_dimJF)),0))*24</f>
        <v>0</v>
      </c>
    </row>
    <row r="15" spans="1:19" x14ac:dyDescent="0.35">
      <c r="A15" s="5"/>
      <c r="B15" s="1"/>
      <c r="C15" s="2"/>
      <c r="D15" s="2"/>
      <c r="E15" s="3"/>
      <c r="F15" s="3"/>
      <c r="G15" s="3"/>
      <c r="H15" s="3"/>
      <c r="I15" s="32">
        <f>0.1*(Horaires3567314[[#This Row],[Heures de nuit]]+Horaires3567314[[#This Row],[heures jour dimanche]]+Horaires3567314[[#This Row],[heures jour fériés]])</f>
        <v>0</v>
      </c>
      <c r="J15" s="33">
        <f>(MOD(Horaires3567314[[#This Row],[Fin]]-Horaires3567314[[#This Row],[début]],1)-MOD(Horaires3567314[[#This Row],[PNP Fin]]-Horaires3567314[[#This Row],[PNP Début]],1))*24</f>
        <v>0</v>
      </c>
      <c r="K15" s="34">
        <f>IF(Horaires3567314[[#This Row],[PNP Début]]=0,0,IF(Horaires3567314[[#This Row],[PNP Début]]&lt;Horaires3567314[[#This Row],[début]],1,0)+Horaires3567314[[#This Row],[PNP Début]])</f>
        <v>0</v>
      </c>
      <c r="L15" s="34">
        <f>IF(Horaires3567314[[#This Row],[PNP Fin]]=0,0,IF(Horaires3567314[[#This Row],[PNP Fin]]&lt;Horaires3567314[[#This Row],[début]],1,0)+Horaires3567314[[#This Row],[PNP Fin]])</f>
        <v>0</v>
      </c>
      <c r="M15" s="34">
        <f>IF(Horaires3567314[[#This Row],[Fin]]&lt;Horaires3567314[[#This Row],[début]],1,0)+Horaires3567314[[#This Row],[Fin]]</f>
        <v>0</v>
      </c>
      <c r="N15" s="35">
        <f>IF(Horaires3567314[[#This Row],[Fin]]&lt;Horaires3567314[[#This Row],[début]],MAX(0,MIN(Horaires3567314[[#This Row],[Fin corrigée si nuit]],fin_nuit)-MAX(Horaires3567314[[#This Row],[début]],deb_nuit))*24,(MAX(deb_nuit,Horaires3567314[[#This Row],[Fin]])-MAX(deb_nuit,Horaires3567314[[#This Row],[début]])+MAX(MIN(fin_nuit-1,Horaires3567314[[#This Row],[Fin]])-MIN(fin_nuit-1,Horaires3567314[[#This Row],[début]]),0))*24)</f>
        <v>0</v>
      </c>
      <c r="O15" s="35">
        <f>(MAX(0,MIN(Horaires3567314[[#This Row],[Fin corrigée si nuit]],fin_nuit)-MAX(Horaires3567314[[#This Row],[début]],deb_nuit))-IF(Horaires3567314[[#This Row],[PNP Début]]=0,0,MIN(Horaires3567314[[#This Row],[PNP Fin corrigée]],fin_nuit)-MAX(Horaires3567314[[#This Row],[PNP Début corrigé]],deb_nuit)))*24</f>
        <v>0</v>
      </c>
      <c r="P15" s="35">
        <f>(IF(WEEKDAY(Horaires3567314[[#This Row],[Date]],2)=7,MAX(0,MIN(fin_dimJF,Horaires3567314[[#This Row],[Fin corrigée si nuit]])-MAX(deb_dimJF,Horaires3567314[[#This Row],[début]])),0)+IF(WEEKDAY(Horaires3567314[[#This Row],[Date]],2)=6,MAX(0,Horaires3567314[[#This Row],[Fin corrigée si nuit]]-(1+deb_dimJF)),0))*24</f>
        <v>0</v>
      </c>
      <c r="Q15" s="35">
        <f>(IF(WEEKDAY(Horaires3567314[[#This Row],[Date]],2)=7,MAX(0,MIN(fin_dimJF,Horaires3567314[[#This Row],[Fin corrigée si nuit]])-MAX(deb_dimJF,Horaires3567314[[#This Row],[début]])),0)+IF(WEEKDAY(Horaires3567314[[#This Row],[Date]],2)=6,MAX(0,Horaires3567314[[#This Row],[Fin corrigée si nuit]]-(1+deb_dimJF)),0))*24-
(IF(WEEKDAY(Horaires3567314[[#This Row],[Date]],2)=7,MAX(0,MIN(fin_dimJF,Horaires3567314[[#This Row],[PNP Fin corrigée]])-MAX(deb_dimJF,Horaires3567314[[#This Row],[PNP Début corrigé]])),0)+IF(WEEKDAY(Horaires3567314[[#This Row],[Date]],2)=6,MAX(0,Horaires3567314[[#This Row],[PNP Fin corrigée]]-(1+deb_dimJF)),0))*24</f>
        <v>0</v>
      </c>
      <c r="R15" s="36">
        <f>(IF(COUNTIF(JF,Horaires3567314[[#This Row],[Date]]),MAX(0,MIN(fin_dimJF,Horaires3567314[[#This Row],[Fin corrigée si nuit]])-MAX(deb_dimJF,Horaires3567314[[#This Row],[début]])),0)+IF(COUNTIF(JF,Horaires3567314[[#This Row],[Date]]+1),MAX(0,Horaires3567314[[#This Row],[Fin corrigée si nuit]]-(1+deb_dimJF)),0))*24</f>
        <v>0</v>
      </c>
      <c r="S15" s="36">
        <f>(IF(COUNTIF(JF,Horaires3567314[[#This Row],[Date]]),MAX(0,MIN(fin_dimJF,Horaires3567314[[#This Row],[Fin corrigée si nuit]])-MAX(deb_dimJF,Horaires3567314[[#This Row],[début]])),0)+IF(COUNTIF(JF,Horaires3567314[[#This Row],[Date]]+1),MAX(0,Horaires3567314[[#This Row],[Fin corrigée si nuit]]-(1+deb_dimJF)),0))*24-
(IF(COUNTIF(JF,Horaires3567314[[#This Row],[Date]]),MAX(0,MIN(fin_dimJF,Horaires3567314[[#This Row],[PNP Fin corrigée]])-MAX(deb_dimJF,Horaires3567314[[#This Row],[PNP Début corrigé]])),0)+IF(COUNTIF(JF,Horaires3567314[[#This Row],[Date]]+1),MAX(0,Horaires3567314[[#This Row],[PNP Fin corrigée]]-(1+deb_dimJF)),0))*24</f>
        <v>0</v>
      </c>
    </row>
    <row r="16" spans="1:19" x14ac:dyDescent="0.35">
      <c r="A16" s="5"/>
      <c r="B16" s="6"/>
      <c r="C16" s="2"/>
      <c r="D16" s="2"/>
      <c r="E16" s="3"/>
      <c r="F16" s="3"/>
      <c r="G16" s="7"/>
      <c r="H16" s="7"/>
      <c r="I16" s="32">
        <f>0.1*(Horaires3567314[[#This Row],[Heures de nuit]]+Horaires3567314[[#This Row],[heures jour dimanche]]+Horaires3567314[[#This Row],[heures jour fériés]])</f>
        <v>0</v>
      </c>
      <c r="J16" s="37">
        <f>(MOD(Horaires3567314[[#This Row],[Fin]]-Horaires3567314[[#This Row],[début]],1)-MOD(Horaires3567314[[#This Row],[PNP Fin]]-Horaires3567314[[#This Row],[PNP Début]],1))*24</f>
        <v>0</v>
      </c>
      <c r="K16" s="34">
        <f>IF(Horaires3567314[[#This Row],[PNP Début]]=0,0,IF(Horaires3567314[[#This Row],[PNP Début]]&lt;Horaires3567314[[#This Row],[début]],1,0)+Horaires3567314[[#This Row],[PNP Début]])</f>
        <v>0</v>
      </c>
      <c r="L16" s="34">
        <f>IF(Horaires3567314[[#This Row],[PNP Fin]]=0,0,IF(Horaires3567314[[#This Row],[PNP Fin]]&lt;Horaires3567314[[#This Row],[début]],1,0)+Horaires3567314[[#This Row],[PNP Fin]])</f>
        <v>0</v>
      </c>
      <c r="M16" s="38">
        <f>IF(Horaires3567314[[#This Row],[Fin]]&lt;Horaires3567314[[#This Row],[début]],1,0)+Horaires3567314[[#This Row],[Fin]]</f>
        <v>0</v>
      </c>
      <c r="N16" s="35">
        <f>IF(Horaires3567314[[#This Row],[Fin]]&lt;Horaires3567314[[#This Row],[début]],MAX(0,MIN(Horaires3567314[[#This Row],[Fin corrigée si nuit]],fin_nuit)-MAX(Horaires3567314[[#This Row],[début]],deb_nuit))*24,(MAX(deb_nuit,Horaires3567314[[#This Row],[Fin]])-MAX(deb_nuit,Horaires3567314[[#This Row],[début]])+MAX(MIN(fin_nuit-1,Horaires3567314[[#This Row],[Fin]])-MIN(fin_nuit-1,Horaires3567314[[#This Row],[début]]),0))*24)</f>
        <v>0</v>
      </c>
      <c r="O16" s="39">
        <f>(MAX(0,MIN(Horaires3567314[[#This Row],[Fin corrigée si nuit]],fin_nuit)-MAX(Horaires3567314[[#This Row],[début]],deb_nuit))-IF(Horaires3567314[[#This Row],[PNP Début]]=0,0,MIN(Horaires3567314[[#This Row],[PNP Fin corrigée]],fin_nuit)-MAX(Horaires3567314[[#This Row],[PNP Début corrigé]],deb_nuit)))*24</f>
        <v>0</v>
      </c>
      <c r="P16" s="39">
        <f>(IF(WEEKDAY(Horaires3567314[[#This Row],[Date]],2)=7,MAX(0,MIN(fin_dimJF,Horaires3567314[[#This Row],[Fin corrigée si nuit]])-MAX(deb_dimJF,Horaires3567314[[#This Row],[début]])),0)+IF(WEEKDAY(Horaires3567314[[#This Row],[Date]],2)=6,MAX(0,Horaires3567314[[#This Row],[Fin corrigée si nuit]]-(1+deb_dimJF)),0))*24</f>
        <v>0</v>
      </c>
      <c r="Q16" s="35">
        <f>(IF(WEEKDAY(Horaires3567314[[#This Row],[Date]],2)=7,MAX(0,MIN(fin_dimJF,Horaires3567314[[#This Row],[Fin corrigée si nuit]])-MAX(deb_dimJF,Horaires3567314[[#This Row],[début]])),0)+IF(WEEKDAY(Horaires3567314[[#This Row],[Date]],2)=6,MAX(0,Horaires3567314[[#This Row],[Fin corrigée si nuit]]-(1+deb_dimJF)),0))*24-
(IF(WEEKDAY(Horaires3567314[[#This Row],[Date]],2)=7,MAX(0,MIN(fin_dimJF,Horaires3567314[[#This Row],[PNP Fin corrigée]])-MAX(deb_dimJF,Horaires3567314[[#This Row],[PNP Début corrigé]])),0)+IF(WEEKDAY(Horaires3567314[[#This Row],[Date]],2)=6,MAX(0,Horaires3567314[[#This Row],[PNP Fin corrigée]]-(1+deb_dimJF)),0))*24</f>
        <v>0</v>
      </c>
      <c r="R16" s="40">
        <f>(IF(COUNTIF(JF,Horaires3567314[[#This Row],[Date]]),MAX(0,MIN(fin_dimJF,Horaires3567314[[#This Row],[Fin corrigée si nuit]])-MAX(deb_dimJF,Horaires3567314[[#This Row],[début]])),0)+IF(COUNTIF(JF,Horaires3567314[[#This Row],[Date]]+1),MAX(0,Horaires3567314[[#This Row],[Fin corrigée si nuit]]-(1+deb_dimJF)),0))*24</f>
        <v>0</v>
      </c>
      <c r="S16" s="40">
        <f>(IF(COUNTIF(JF,Horaires3567314[[#This Row],[Date]]),MAX(0,MIN(fin_dimJF,Horaires3567314[[#This Row],[Fin corrigée si nuit]])-MAX(deb_dimJF,Horaires3567314[[#This Row],[début]])),0)+IF(COUNTIF(JF,Horaires3567314[[#This Row],[Date]]+1),MAX(0,Horaires3567314[[#This Row],[Fin corrigée si nuit]]-(1+deb_dimJF)),0))*24-
(IF(COUNTIF(JF,Horaires3567314[[#This Row],[Date]]),MAX(0,MIN(fin_dimJF,Horaires3567314[[#This Row],[PNP Fin corrigée]])-MAX(deb_dimJF,Horaires3567314[[#This Row],[PNP Début corrigé]])),0)+IF(COUNTIF(JF,Horaires3567314[[#This Row],[Date]]+1),MAX(0,Horaires3567314[[#This Row],[PNP Fin corrigée]]-(1+deb_dimJF)),0))*24</f>
        <v>0</v>
      </c>
    </row>
    <row r="17" spans="1:19" x14ac:dyDescent="0.35">
      <c r="A17" s="5"/>
      <c r="B17" s="1"/>
      <c r="C17" s="2"/>
      <c r="D17" s="2"/>
      <c r="E17" s="3"/>
      <c r="F17" s="3"/>
      <c r="G17" s="12"/>
      <c r="H17" s="12"/>
      <c r="I17" s="41">
        <f>0.1*(Horaires3567314[[#This Row],[Heures de nuit]]+Horaires3567314[[#This Row],[heures jour dimanche]]+Horaires3567314[[#This Row],[heures jour fériés]])</f>
        <v>0</v>
      </c>
      <c r="J17" s="42">
        <f>(MOD(Horaires3567314[[#This Row],[Fin]]-Horaires3567314[[#This Row],[début]],1)-MOD(Horaires3567314[[#This Row],[PNP Fin]]-Horaires3567314[[#This Row],[PNP Début]],1))*24</f>
        <v>0</v>
      </c>
      <c r="K17" s="43">
        <f>IF(Horaires3567314[[#This Row],[PNP Début]]=0,0,IF(Horaires3567314[[#This Row],[PNP Début]]&lt;Horaires3567314[[#This Row],[début]],1,0)+Horaires3567314[[#This Row],[PNP Début]])</f>
        <v>0</v>
      </c>
      <c r="L17" s="44">
        <f>IF(Horaires3567314[[#This Row],[PNP Fin]]=0,0,IF(Horaires3567314[[#This Row],[PNP Fin]]&lt;Horaires3567314[[#This Row],[début]],1,0)+Horaires3567314[[#This Row],[PNP Fin]])</f>
        <v>0</v>
      </c>
      <c r="M17" s="44">
        <f>IF(Horaires3567314[[#This Row],[Fin]]&lt;Horaires3567314[[#This Row],[début]],1,0)+Horaires3567314[[#This Row],[Fin]]</f>
        <v>0</v>
      </c>
      <c r="N17" s="35">
        <f>IF(Horaires3567314[[#This Row],[Fin]]&lt;Horaires3567314[[#This Row],[début]],MAX(0,MIN(Horaires3567314[[#This Row],[Fin corrigée si nuit]],fin_nuit)-MAX(Horaires3567314[[#This Row],[début]],deb_nuit))*24,(MAX(deb_nuit,Horaires3567314[[#This Row],[Fin]])-MAX(deb_nuit,Horaires3567314[[#This Row],[début]])+MAX(MIN(fin_nuit-1,Horaires3567314[[#This Row],[Fin]])-MIN(fin_nuit-1,Horaires3567314[[#This Row],[début]]),0))*24)</f>
        <v>0</v>
      </c>
      <c r="O17" s="45">
        <f>(MAX(0,MIN(Horaires3567314[[#This Row],[Fin corrigée si nuit]],fin_nuit)-MAX(Horaires3567314[[#This Row],[début]],deb_nuit))-IF(Horaires3567314[[#This Row],[PNP Début]]=0,0,MIN(Horaires3567314[[#This Row],[PNP Fin corrigée]],fin_nuit)-MAX(Horaires3567314[[#This Row],[PNP Début corrigé]],deb_nuit)))*24</f>
        <v>0</v>
      </c>
      <c r="P17" s="45">
        <f>(IF(WEEKDAY(Horaires3567314[[#This Row],[Date]],2)=7,MAX(0,MIN(fin_dimJF,Horaires3567314[[#This Row],[Fin corrigée si nuit]])-MAX(deb_dimJF,Horaires3567314[[#This Row],[début]])),0)+IF(WEEKDAY(Horaires3567314[[#This Row],[Date]],2)=6,MAX(0,Horaires3567314[[#This Row],[Fin corrigée si nuit]]-(1+deb_dimJF)),0))*24</f>
        <v>0</v>
      </c>
      <c r="Q17" s="45">
        <f>(IF(WEEKDAY(Horaires3567314[[#This Row],[Date]],2)=7,MAX(0,MIN(fin_dimJF,Horaires3567314[[#This Row],[Fin corrigée si nuit]])-MAX(deb_dimJF,Horaires3567314[[#This Row],[début]])),0)+IF(WEEKDAY(Horaires3567314[[#This Row],[Date]],2)=6,MAX(0,Horaires3567314[[#This Row],[Fin corrigée si nuit]]-(1+deb_dimJF)),0))*24-
(IF(WEEKDAY(Horaires3567314[[#This Row],[Date]],2)=7,MAX(0,MIN(fin_dimJF,Horaires3567314[[#This Row],[PNP Fin corrigée]])-MAX(deb_dimJF,Horaires3567314[[#This Row],[PNP Début corrigé]])),0)+IF(WEEKDAY(Horaires3567314[[#This Row],[Date]],2)=6,MAX(0,Horaires3567314[[#This Row],[PNP Fin corrigée]]-(1+deb_dimJF)),0))*24</f>
        <v>0</v>
      </c>
      <c r="R17" s="45">
        <f>(IF(COUNTIF(JF,Horaires3567314[[#This Row],[Date]]),MAX(0,MIN(fin_dimJF,Horaires3567314[[#This Row],[Fin corrigée si nuit]])-MAX(deb_dimJF,Horaires3567314[[#This Row],[début]])),0)+IF(COUNTIF(JF,Horaires3567314[[#This Row],[Date]]+1),MAX(0,Horaires3567314[[#This Row],[Fin corrigée si nuit]]-(1+deb_dimJF)),0))*24</f>
        <v>0</v>
      </c>
      <c r="S17" s="45">
        <f>(IF(COUNTIF(JF,Horaires3567314[[#This Row],[Date]]),MAX(0,MIN(fin_dimJF,Horaires3567314[[#This Row],[Fin corrigée si nuit]])-MAX(deb_dimJF,Horaires3567314[[#This Row],[début]])),0)+IF(COUNTIF(JF,Horaires3567314[[#This Row],[Date]]+1),MAX(0,Horaires3567314[[#This Row],[Fin corrigée si nuit]]-(1+deb_dimJF)),0))*24-
(IF(COUNTIF(JF,Horaires3567314[[#This Row],[Date]]),MAX(0,MIN(fin_dimJF,Horaires3567314[[#This Row],[PNP Fin corrigée]])-MAX(deb_dimJF,Horaires3567314[[#This Row],[PNP Début corrigé]])),0)+IF(COUNTIF(JF,Horaires3567314[[#This Row],[Date]]+1),MAX(0,Horaires3567314[[#This Row],[PNP Fin corrigée]]-(1+deb_dimJF)),0))*24</f>
        <v>0</v>
      </c>
    </row>
    <row r="18" spans="1:19" x14ac:dyDescent="0.35">
      <c r="A18" s="5"/>
      <c r="B18" s="60"/>
      <c r="C18" s="11"/>
      <c r="D18" s="11"/>
      <c r="E18" s="12"/>
      <c r="F18" s="12"/>
      <c r="G18" s="12"/>
      <c r="H18" s="12"/>
      <c r="I18" s="41">
        <f>0.1*(Horaires3567314[[#This Row],[Heures de nuit]]+Horaires3567314[[#This Row],[heures jour dimanche]]+Horaires3567314[[#This Row],[heures jour fériés]])</f>
        <v>0</v>
      </c>
      <c r="J18" s="42">
        <f>(MOD(Horaires3567314[[#This Row],[Fin]]-Horaires3567314[[#This Row],[début]],1)-MOD(Horaires3567314[[#This Row],[PNP Fin]]-Horaires3567314[[#This Row],[PNP Début]],1))*24</f>
        <v>0</v>
      </c>
      <c r="K18" s="43">
        <f>IF(Horaires3567314[[#This Row],[PNP Début]]=0,0,IF(Horaires3567314[[#This Row],[PNP Début]]&lt;Horaires3567314[[#This Row],[début]],1,0)+Horaires3567314[[#This Row],[PNP Début]])</f>
        <v>0</v>
      </c>
      <c r="L18" s="44">
        <f>IF(Horaires3567314[[#This Row],[PNP Fin]]=0,0,IF(Horaires3567314[[#This Row],[PNP Fin]]&lt;Horaires3567314[[#This Row],[début]],1,0)+Horaires3567314[[#This Row],[PNP Fin]])</f>
        <v>0</v>
      </c>
      <c r="M18" s="44">
        <f>IF(Horaires3567314[[#This Row],[Fin]]&lt;Horaires3567314[[#This Row],[début]],1,0)+Horaires3567314[[#This Row],[Fin]]</f>
        <v>0</v>
      </c>
      <c r="N18" s="35">
        <f>IF(Horaires3567314[[#This Row],[Fin]]&lt;Horaires3567314[[#This Row],[début]],MAX(0,MIN(Horaires3567314[[#This Row],[Fin corrigée si nuit]],fin_nuit)-MAX(Horaires3567314[[#This Row],[début]],deb_nuit))*24,(MAX(deb_nuit,Horaires3567314[[#This Row],[Fin]])-MAX(deb_nuit,Horaires3567314[[#This Row],[début]])+MAX(MIN(fin_nuit-1,Horaires3567314[[#This Row],[Fin]])-MIN(fin_nuit-1,Horaires3567314[[#This Row],[début]]),0))*24)</f>
        <v>0</v>
      </c>
      <c r="O18" s="45">
        <f>(MAX(0,MIN(Horaires3567314[[#This Row],[Fin corrigée si nuit]],fin_nuit)-MAX(Horaires3567314[[#This Row],[début]],deb_nuit))-IF(Horaires3567314[[#This Row],[PNP Début]]=0,0,MIN(Horaires3567314[[#This Row],[PNP Fin corrigée]],fin_nuit)-MAX(Horaires3567314[[#This Row],[PNP Début corrigé]],deb_nuit)))*24</f>
        <v>0</v>
      </c>
      <c r="P18" s="45">
        <f>(IF(WEEKDAY(Horaires3567314[[#This Row],[Date]],2)=7,MAX(0,MIN(fin_dimJF,Horaires3567314[[#This Row],[Fin corrigée si nuit]])-MAX(deb_dimJF,Horaires3567314[[#This Row],[début]])),0)+IF(WEEKDAY(Horaires3567314[[#This Row],[Date]],2)=6,MAX(0,Horaires3567314[[#This Row],[Fin corrigée si nuit]]-(1+deb_dimJF)),0))*24</f>
        <v>0</v>
      </c>
      <c r="Q18" s="45">
        <f>(IF(WEEKDAY(Horaires3567314[[#This Row],[Date]],2)=7,MAX(0,MIN(fin_dimJF,Horaires3567314[[#This Row],[Fin corrigée si nuit]])-MAX(deb_dimJF,Horaires3567314[[#This Row],[début]])),0)+IF(WEEKDAY(Horaires3567314[[#This Row],[Date]],2)=6,MAX(0,Horaires3567314[[#This Row],[Fin corrigée si nuit]]-(1+deb_dimJF)),0))*24-
(IF(WEEKDAY(Horaires3567314[[#This Row],[Date]],2)=7,MAX(0,MIN(fin_dimJF,Horaires3567314[[#This Row],[PNP Fin corrigée]])-MAX(deb_dimJF,Horaires3567314[[#This Row],[PNP Début corrigé]])),0)+IF(WEEKDAY(Horaires3567314[[#This Row],[Date]],2)=6,MAX(0,Horaires3567314[[#This Row],[PNP Fin corrigée]]-(1+deb_dimJF)),0))*24</f>
        <v>0</v>
      </c>
      <c r="R18" s="45">
        <f>(IF(COUNTIF(JF,Horaires3567314[[#This Row],[Date]]),MAX(0,MIN(fin_dimJF,Horaires3567314[[#This Row],[Fin corrigée si nuit]])-MAX(deb_dimJF,Horaires3567314[[#This Row],[début]])),0)+IF(COUNTIF(JF,Horaires3567314[[#This Row],[Date]]+1),MAX(0,Horaires3567314[[#This Row],[Fin corrigée si nuit]]-(1+deb_dimJF)),0))*24</f>
        <v>0</v>
      </c>
      <c r="S18" s="45">
        <f>(IF(COUNTIF(JF,Horaires3567314[[#This Row],[Date]]),MAX(0,MIN(fin_dimJF,Horaires3567314[[#This Row],[Fin corrigée si nuit]])-MAX(deb_dimJF,Horaires3567314[[#This Row],[début]])),0)+IF(COUNTIF(JF,Horaires3567314[[#This Row],[Date]]+1),MAX(0,Horaires3567314[[#This Row],[Fin corrigée si nuit]]-(1+deb_dimJF)),0))*24-
(IF(COUNTIF(JF,Horaires3567314[[#This Row],[Date]]),MAX(0,MIN(fin_dimJF,Horaires3567314[[#This Row],[PNP Fin corrigée]])-MAX(deb_dimJF,Horaires3567314[[#This Row],[PNP Début corrigé]])),0)+IF(COUNTIF(JF,Horaires3567314[[#This Row],[Date]]+1),MAX(0,Horaires3567314[[#This Row],[PNP Fin corrigée]]-(1+deb_dimJF)),0))*24</f>
        <v>0</v>
      </c>
    </row>
    <row r="19" spans="1:19" x14ac:dyDescent="0.35">
      <c r="A19" s="5"/>
      <c r="B19" s="1"/>
      <c r="C19" s="11"/>
      <c r="D19" s="11"/>
      <c r="E19" s="3"/>
      <c r="F19" s="3"/>
      <c r="G19" s="12"/>
      <c r="H19" s="12"/>
      <c r="I19" s="41">
        <f>0.1*(Horaires3567314[[#This Row],[Heures de nuit]]+Horaires3567314[[#This Row],[heures jour dimanche]]+Horaires3567314[[#This Row],[heures jour fériés]])</f>
        <v>0</v>
      </c>
      <c r="J19" s="42">
        <f>(MOD(Horaires3567314[[#This Row],[Fin]]-Horaires3567314[[#This Row],[début]],1)-MOD(Horaires3567314[[#This Row],[PNP Fin]]-Horaires3567314[[#This Row],[PNP Début]],1))*24</f>
        <v>0</v>
      </c>
      <c r="K19" s="43">
        <f>IF(Horaires3567314[[#This Row],[PNP Début]]=0,0,IF(Horaires3567314[[#This Row],[PNP Début]]&lt;Horaires3567314[[#This Row],[début]],1,0)+Horaires3567314[[#This Row],[PNP Début]])</f>
        <v>0</v>
      </c>
      <c r="L19" s="44">
        <f>IF(Horaires3567314[[#This Row],[PNP Fin]]=0,0,IF(Horaires3567314[[#This Row],[PNP Fin]]&lt;Horaires3567314[[#This Row],[début]],1,0)+Horaires3567314[[#This Row],[PNP Fin]])</f>
        <v>0</v>
      </c>
      <c r="M19" s="44">
        <f>IF(Horaires3567314[[#This Row],[Fin]]&lt;Horaires3567314[[#This Row],[début]],1,0)+Horaires3567314[[#This Row],[Fin]]</f>
        <v>0</v>
      </c>
      <c r="N19" s="35">
        <f>IF(Horaires3567314[[#This Row],[Fin]]&lt;Horaires3567314[[#This Row],[début]],MAX(0,MIN(Horaires3567314[[#This Row],[Fin corrigée si nuit]],fin_nuit)-MAX(Horaires3567314[[#This Row],[début]],deb_nuit))*24,(MAX(deb_nuit,Horaires3567314[[#This Row],[Fin]])-MAX(deb_nuit,Horaires3567314[[#This Row],[début]])+MAX(MIN(fin_nuit-1,Horaires3567314[[#This Row],[Fin]])-MIN(fin_nuit-1,Horaires3567314[[#This Row],[début]]),0))*24)</f>
        <v>0</v>
      </c>
      <c r="O19" s="45">
        <f>(MAX(0,MIN(Horaires3567314[[#This Row],[Fin corrigée si nuit]],fin_nuit)-MAX(Horaires3567314[[#This Row],[début]],deb_nuit))-IF(Horaires3567314[[#This Row],[PNP Début]]=0,0,MIN(Horaires3567314[[#This Row],[PNP Fin corrigée]],fin_nuit)-MAX(Horaires3567314[[#This Row],[PNP Début corrigé]],deb_nuit)))*24</f>
        <v>0</v>
      </c>
      <c r="P19" s="45">
        <f>(IF(WEEKDAY(Horaires3567314[[#This Row],[Date]],2)=7,MAX(0,MIN(fin_dimJF,Horaires3567314[[#This Row],[Fin corrigée si nuit]])-MAX(deb_dimJF,Horaires3567314[[#This Row],[début]])),0)+IF(WEEKDAY(Horaires3567314[[#This Row],[Date]],2)=6,MAX(0,Horaires3567314[[#This Row],[Fin corrigée si nuit]]-(1+deb_dimJF)),0))*24</f>
        <v>0</v>
      </c>
      <c r="Q19" s="45">
        <f>(IF(WEEKDAY(Horaires3567314[[#This Row],[Date]],2)=7,MAX(0,MIN(fin_dimJF,Horaires3567314[[#This Row],[Fin corrigée si nuit]])-MAX(deb_dimJF,Horaires3567314[[#This Row],[début]])),0)+IF(WEEKDAY(Horaires3567314[[#This Row],[Date]],2)=6,MAX(0,Horaires3567314[[#This Row],[Fin corrigée si nuit]]-(1+deb_dimJF)),0))*24-
(IF(WEEKDAY(Horaires3567314[[#This Row],[Date]],2)=7,MAX(0,MIN(fin_dimJF,Horaires3567314[[#This Row],[PNP Fin corrigée]])-MAX(deb_dimJF,Horaires3567314[[#This Row],[PNP Début corrigé]])),0)+IF(WEEKDAY(Horaires3567314[[#This Row],[Date]],2)=6,MAX(0,Horaires3567314[[#This Row],[PNP Fin corrigée]]-(1+deb_dimJF)),0))*24</f>
        <v>0</v>
      </c>
      <c r="R19" s="45">
        <f>(IF(COUNTIF(JF,Horaires3567314[[#This Row],[Date]]),MAX(0,MIN(fin_dimJF,Horaires3567314[[#This Row],[Fin corrigée si nuit]])-MAX(deb_dimJF,Horaires3567314[[#This Row],[début]])),0)+IF(COUNTIF(JF,Horaires3567314[[#This Row],[Date]]+1),MAX(0,Horaires3567314[[#This Row],[Fin corrigée si nuit]]-(1+deb_dimJF)),0))*24</f>
        <v>0</v>
      </c>
      <c r="S19" s="45">
        <f>(IF(COUNTIF(JF,Horaires3567314[[#This Row],[Date]]),MAX(0,MIN(fin_dimJF,Horaires3567314[[#This Row],[Fin corrigée si nuit]])-MAX(deb_dimJF,Horaires3567314[[#This Row],[début]])),0)+IF(COUNTIF(JF,Horaires3567314[[#This Row],[Date]]+1),MAX(0,Horaires3567314[[#This Row],[Fin corrigée si nuit]]-(1+deb_dimJF)),0))*24-
(IF(COUNTIF(JF,Horaires3567314[[#This Row],[Date]]),MAX(0,MIN(fin_dimJF,Horaires3567314[[#This Row],[PNP Fin corrigée]])-MAX(deb_dimJF,Horaires3567314[[#This Row],[PNP Début corrigé]])),0)+IF(COUNTIF(JF,Horaires3567314[[#This Row],[Date]]+1),MAX(0,Horaires3567314[[#This Row],[PNP Fin corrigée]]-(1+deb_dimJF)),0))*24</f>
        <v>0</v>
      </c>
    </row>
    <row r="20" spans="1:19" x14ac:dyDescent="0.35">
      <c r="A20" s="5"/>
      <c r="B20" s="1"/>
      <c r="C20" s="11"/>
      <c r="D20" s="11"/>
      <c r="E20" s="12"/>
      <c r="F20" s="12"/>
      <c r="G20" s="12"/>
      <c r="H20" s="12"/>
      <c r="I20" s="41">
        <f>0.1*(Horaires3567314[[#This Row],[Heures de nuit]]+Horaires3567314[[#This Row],[heures jour dimanche]]+Horaires3567314[[#This Row],[heures jour fériés]])</f>
        <v>0</v>
      </c>
      <c r="J20" s="42">
        <f>(MOD(Horaires3567314[[#This Row],[Fin]]-Horaires3567314[[#This Row],[début]],1)-MOD(Horaires3567314[[#This Row],[PNP Fin]]-Horaires3567314[[#This Row],[PNP Début]],1))*24</f>
        <v>0</v>
      </c>
      <c r="K20" s="43">
        <f>IF(Horaires3567314[[#This Row],[PNP Début]]=0,0,IF(Horaires3567314[[#This Row],[PNP Début]]&lt;Horaires3567314[[#This Row],[début]],1,0)+Horaires3567314[[#This Row],[PNP Début]])</f>
        <v>0</v>
      </c>
      <c r="L20" s="44">
        <f>IF(Horaires3567314[[#This Row],[PNP Fin]]=0,0,IF(Horaires3567314[[#This Row],[PNP Fin]]&lt;Horaires3567314[[#This Row],[début]],1,0)+Horaires3567314[[#This Row],[PNP Fin]])</f>
        <v>0</v>
      </c>
      <c r="M20" s="44">
        <f>IF(Horaires3567314[[#This Row],[Fin]]&lt;Horaires3567314[[#This Row],[début]],1,0)+Horaires3567314[[#This Row],[Fin]]</f>
        <v>0</v>
      </c>
      <c r="N20" s="35">
        <f>IF(Horaires3567314[[#This Row],[Fin]]&lt;Horaires3567314[[#This Row],[début]],MAX(0,MIN(Horaires3567314[[#This Row],[Fin corrigée si nuit]],fin_nuit)-MAX(Horaires3567314[[#This Row],[début]],deb_nuit))*24,(MAX(deb_nuit,Horaires3567314[[#This Row],[Fin]])-MAX(deb_nuit,Horaires3567314[[#This Row],[début]])+MAX(MIN(fin_nuit-1,Horaires3567314[[#This Row],[Fin]])-MIN(fin_nuit-1,Horaires3567314[[#This Row],[début]]),0))*24)</f>
        <v>0</v>
      </c>
      <c r="O20" s="45">
        <f>(MAX(0,MIN(Horaires3567314[[#This Row],[Fin corrigée si nuit]],fin_nuit)-MAX(Horaires3567314[[#This Row],[début]],deb_nuit))-IF(Horaires3567314[[#This Row],[PNP Début]]=0,0,MIN(Horaires3567314[[#This Row],[PNP Fin corrigée]],fin_nuit)-MAX(Horaires3567314[[#This Row],[PNP Début corrigé]],deb_nuit)))*24</f>
        <v>0</v>
      </c>
      <c r="P20" s="45">
        <f>(IF(WEEKDAY(Horaires3567314[[#This Row],[Date]],2)=7,MAX(0,MIN(fin_dimJF,Horaires3567314[[#This Row],[Fin corrigée si nuit]])-MAX(deb_dimJF,Horaires3567314[[#This Row],[début]])),0)+IF(WEEKDAY(Horaires3567314[[#This Row],[Date]],2)=6,MAX(0,Horaires3567314[[#This Row],[Fin corrigée si nuit]]-(1+deb_dimJF)),0))*24</f>
        <v>0</v>
      </c>
      <c r="Q20" s="45">
        <f>(IF(WEEKDAY(Horaires3567314[[#This Row],[Date]],2)=7,MAX(0,MIN(fin_dimJF,Horaires3567314[[#This Row],[Fin corrigée si nuit]])-MAX(deb_dimJF,Horaires3567314[[#This Row],[début]])),0)+IF(WEEKDAY(Horaires3567314[[#This Row],[Date]],2)=6,MAX(0,Horaires3567314[[#This Row],[Fin corrigée si nuit]]-(1+deb_dimJF)),0))*24-
(IF(WEEKDAY(Horaires3567314[[#This Row],[Date]],2)=7,MAX(0,MIN(fin_dimJF,Horaires3567314[[#This Row],[PNP Fin corrigée]])-MAX(deb_dimJF,Horaires3567314[[#This Row],[PNP Début corrigé]])),0)+IF(WEEKDAY(Horaires3567314[[#This Row],[Date]],2)=6,MAX(0,Horaires3567314[[#This Row],[PNP Fin corrigée]]-(1+deb_dimJF)),0))*24</f>
        <v>0</v>
      </c>
      <c r="R20" s="45">
        <f>(IF(COUNTIF(JF,Horaires3567314[[#This Row],[Date]]),MAX(0,MIN(fin_dimJF,Horaires3567314[[#This Row],[Fin corrigée si nuit]])-MAX(deb_dimJF,Horaires3567314[[#This Row],[début]])),0)+IF(COUNTIF(JF,Horaires3567314[[#This Row],[Date]]+1),MAX(0,Horaires3567314[[#This Row],[Fin corrigée si nuit]]-(1+deb_dimJF)),0))*24</f>
        <v>0</v>
      </c>
      <c r="S20" s="45">
        <f>(IF(COUNTIF(JF,Horaires3567314[[#This Row],[Date]]),MAX(0,MIN(fin_dimJF,Horaires3567314[[#This Row],[Fin corrigée si nuit]])-MAX(deb_dimJF,Horaires3567314[[#This Row],[début]])),0)+IF(COUNTIF(JF,Horaires3567314[[#This Row],[Date]]+1),MAX(0,Horaires3567314[[#This Row],[Fin corrigée si nuit]]-(1+deb_dimJF)),0))*24-
(IF(COUNTIF(JF,Horaires3567314[[#This Row],[Date]]),MAX(0,MIN(fin_dimJF,Horaires3567314[[#This Row],[PNP Fin corrigée]])-MAX(deb_dimJF,Horaires3567314[[#This Row],[PNP Début corrigé]])),0)+IF(COUNTIF(JF,Horaires3567314[[#This Row],[Date]]+1),MAX(0,Horaires3567314[[#This Row],[PNP Fin corrigée]]-(1+deb_dimJF)),0))*24</f>
        <v>0</v>
      </c>
    </row>
    <row r="21" spans="1:19" x14ac:dyDescent="0.35">
      <c r="A21" s="5"/>
      <c r="B21" s="6"/>
      <c r="C21" s="13"/>
      <c r="D21" s="13"/>
      <c r="E21" s="3"/>
      <c r="F21" s="3"/>
      <c r="G21" s="14"/>
      <c r="H21" s="14"/>
      <c r="I21" s="46">
        <f>0.1*(Horaires3567314[[#This Row],[Heures de nuit]]+Horaires3567314[[#This Row],[heures jour dimanche]]+Horaires3567314[[#This Row],[heures jour fériés]])</f>
        <v>0</v>
      </c>
      <c r="J21" s="47">
        <f>(MOD(Horaires3567314[[#This Row],[Fin]]-Horaires3567314[[#This Row],[début]],1)-MOD(Horaires3567314[[#This Row],[PNP Fin]]-Horaires3567314[[#This Row],[PNP Début]],1))*24</f>
        <v>0</v>
      </c>
      <c r="K21" s="48">
        <f>IF(Horaires3567314[[#This Row],[PNP Début]]=0,0,IF(Horaires3567314[[#This Row],[PNP Début]]&lt;Horaires3567314[[#This Row],[début]],1,0)+Horaires3567314[[#This Row],[PNP Début]])</f>
        <v>0</v>
      </c>
      <c r="L21" s="49">
        <f>IF(Horaires3567314[[#This Row],[PNP Fin]]=0,0,IF(Horaires3567314[[#This Row],[PNP Fin]]&lt;Horaires3567314[[#This Row],[début]],1,0)+Horaires3567314[[#This Row],[PNP Fin]])</f>
        <v>0</v>
      </c>
      <c r="M21" s="49">
        <f>IF(Horaires3567314[[#This Row],[Fin]]&lt;Horaires3567314[[#This Row],[début]],1,0)+Horaires3567314[[#This Row],[Fin]]</f>
        <v>0</v>
      </c>
      <c r="N21" s="35">
        <f>IF(Horaires3567314[[#This Row],[Fin]]&lt;Horaires3567314[[#This Row],[début]],MAX(0,MIN(Horaires3567314[[#This Row],[Fin corrigée si nuit]],fin_nuit)-MAX(Horaires3567314[[#This Row],[début]],deb_nuit))*24,(MAX(deb_nuit,Horaires3567314[[#This Row],[Fin]])-MAX(deb_nuit,Horaires3567314[[#This Row],[début]])+MAX(MIN(fin_nuit-1,Horaires3567314[[#This Row],[Fin]])-MIN(fin_nuit-1,Horaires3567314[[#This Row],[début]]),0))*24)</f>
        <v>0</v>
      </c>
      <c r="O21" s="50">
        <f>(MAX(0,MIN(Horaires3567314[[#This Row],[Fin corrigée si nuit]],fin_nuit)-MAX(Horaires3567314[[#This Row],[début]],deb_nuit))-IF(Horaires3567314[[#This Row],[PNP Début]]=0,0,MIN(Horaires3567314[[#This Row],[PNP Fin corrigée]],fin_nuit)-MAX(Horaires3567314[[#This Row],[PNP Début corrigé]],deb_nuit)))*24</f>
        <v>0</v>
      </c>
      <c r="P21" s="50">
        <f>(IF(WEEKDAY(Horaires3567314[[#This Row],[Date]],2)=7,MAX(0,MIN(fin_dimJF,Horaires3567314[[#This Row],[Fin corrigée si nuit]])-MAX(deb_dimJF,Horaires3567314[[#This Row],[début]])),0)+IF(WEEKDAY(Horaires3567314[[#This Row],[Date]],2)=6,MAX(0,Horaires3567314[[#This Row],[Fin corrigée si nuit]]-(1+deb_dimJF)),0))*24</f>
        <v>0</v>
      </c>
      <c r="Q21" s="50">
        <f>(IF(WEEKDAY(Horaires3567314[[#This Row],[Date]],2)=7,MAX(0,MIN(fin_dimJF,Horaires3567314[[#This Row],[Fin corrigée si nuit]])-MAX(deb_dimJF,Horaires3567314[[#This Row],[début]])),0)+IF(WEEKDAY(Horaires3567314[[#This Row],[Date]],2)=6,MAX(0,Horaires3567314[[#This Row],[Fin corrigée si nuit]]-(1+deb_dimJF)),0))*24-
(IF(WEEKDAY(Horaires3567314[[#This Row],[Date]],2)=7,MAX(0,MIN(fin_dimJF,Horaires3567314[[#This Row],[PNP Fin corrigée]])-MAX(deb_dimJF,Horaires3567314[[#This Row],[PNP Début corrigé]])),0)+IF(WEEKDAY(Horaires3567314[[#This Row],[Date]],2)=6,MAX(0,Horaires3567314[[#This Row],[PNP Fin corrigée]]-(1+deb_dimJF)),0))*24</f>
        <v>0</v>
      </c>
      <c r="R21" s="50">
        <f>(IF(COUNTIF(JF,Horaires3567314[[#This Row],[Date]]),MAX(0,MIN(fin_dimJF,Horaires3567314[[#This Row],[Fin corrigée si nuit]])-MAX(deb_dimJF,Horaires3567314[[#This Row],[début]])),0)+IF(COUNTIF(JF,Horaires3567314[[#This Row],[Date]]+1),MAX(0,Horaires3567314[[#This Row],[Fin corrigée si nuit]]-(1+deb_dimJF)),0))*24</f>
        <v>0</v>
      </c>
      <c r="S21" s="50">
        <f>(IF(COUNTIF(JF,Horaires3567314[[#This Row],[Date]]),MAX(0,MIN(fin_dimJF,Horaires3567314[[#This Row],[Fin corrigée si nuit]])-MAX(deb_dimJF,Horaires3567314[[#This Row],[début]])),0)+IF(COUNTIF(JF,Horaires3567314[[#This Row],[Date]]+1),MAX(0,Horaires3567314[[#This Row],[Fin corrigée si nuit]]-(1+deb_dimJF)),0))*24-
(IF(COUNTIF(JF,Horaires3567314[[#This Row],[Date]]),MAX(0,MIN(fin_dimJF,Horaires3567314[[#This Row],[PNP Fin corrigée]])-MAX(deb_dimJF,Horaires3567314[[#This Row],[PNP Début corrigé]])),0)+IF(COUNTIF(JF,Horaires3567314[[#This Row],[Date]]+1),MAX(0,Horaires3567314[[#This Row],[PNP Fin corrigée]]-(1+deb_dimJF)),0))*24</f>
        <v>0</v>
      </c>
    </row>
    <row r="22" spans="1:19" x14ac:dyDescent="0.35">
      <c r="A22" s="5"/>
      <c r="B22" s="1"/>
      <c r="C22" s="13"/>
      <c r="D22" s="13"/>
      <c r="E22" s="3"/>
      <c r="F22" s="3"/>
      <c r="G22" s="3"/>
      <c r="H22" s="3"/>
      <c r="I22" s="51">
        <f>0.1*(Horaires3567314[[#This Row],[Heures de nuit]]+Horaires3567314[[#This Row],[heures jour dimanche]]+Horaires3567314[[#This Row],[heures jour fériés]])</f>
        <v>0</v>
      </c>
      <c r="J22" s="52">
        <f>(MOD(Horaires3567314[[#This Row],[Fin]]-Horaires3567314[[#This Row],[début]],1)-MOD(Horaires3567314[[#This Row],[PNP Fin]]-Horaires3567314[[#This Row],[PNP Début]],1))*24</f>
        <v>0</v>
      </c>
      <c r="K22" s="53">
        <f>IF(Horaires3567314[[#This Row],[PNP Début]]=0,0,IF(Horaires3567314[[#This Row],[PNP Début]]&lt;Horaires3567314[[#This Row],[début]],1,0)+Horaires3567314[[#This Row],[PNP Début]])</f>
        <v>0</v>
      </c>
      <c r="L22" s="54">
        <f>IF(Horaires3567314[[#This Row],[PNP Fin]]=0,0,IF(Horaires3567314[[#This Row],[PNP Fin]]&lt;Horaires3567314[[#This Row],[début]],1,0)+Horaires3567314[[#This Row],[PNP Fin]])</f>
        <v>0</v>
      </c>
      <c r="M22" s="54">
        <f>IF(Horaires3567314[[#This Row],[Fin]]&lt;Horaires3567314[[#This Row],[début]],1,0)+Horaires3567314[[#This Row],[Fin]]</f>
        <v>0</v>
      </c>
      <c r="N22" s="35">
        <f>IF(Horaires3567314[[#This Row],[Fin]]&lt;Horaires3567314[[#This Row],[début]],MAX(0,MIN(Horaires3567314[[#This Row],[Fin corrigée si nuit]],fin_nuit)-MAX(Horaires3567314[[#This Row],[début]],deb_nuit))*24,(MAX(deb_nuit,Horaires3567314[[#This Row],[Fin]])-MAX(deb_nuit,Horaires3567314[[#This Row],[début]])+MAX(MIN(fin_nuit-1,Horaires3567314[[#This Row],[Fin]])-MIN(fin_nuit-1,Horaires3567314[[#This Row],[début]]),0))*24)</f>
        <v>0</v>
      </c>
      <c r="O22" s="55">
        <f>(MAX(0,MIN(Horaires3567314[[#This Row],[Fin corrigée si nuit]],fin_nuit)-MAX(Horaires3567314[[#This Row],[début]],deb_nuit))-IF(Horaires3567314[[#This Row],[PNP Début]]=0,0,MIN(Horaires3567314[[#This Row],[PNP Fin corrigée]],fin_nuit)-MAX(Horaires3567314[[#This Row],[PNP Début corrigé]],deb_nuit)))*24</f>
        <v>0</v>
      </c>
      <c r="P22" s="55">
        <f>(IF(WEEKDAY(Horaires3567314[[#This Row],[Date]],2)=7,MAX(0,MIN(fin_dimJF,Horaires3567314[[#This Row],[Fin corrigée si nuit]])-MAX(deb_dimJF,Horaires3567314[[#This Row],[début]])),0)+IF(WEEKDAY(Horaires3567314[[#This Row],[Date]],2)=6,MAX(0,Horaires3567314[[#This Row],[Fin corrigée si nuit]]-(1+deb_dimJF)),0))*24</f>
        <v>0</v>
      </c>
      <c r="Q22" s="55">
        <f>(IF(WEEKDAY(Horaires3567314[[#This Row],[Date]],2)=7,MAX(0,MIN(fin_dimJF,Horaires3567314[[#This Row],[Fin corrigée si nuit]])-MAX(deb_dimJF,Horaires3567314[[#This Row],[début]])),0)+IF(WEEKDAY(Horaires3567314[[#This Row],[Date]],2)=6,MAX(0,Horaires3567314[[#This Row],[Fin corrigée si nuit]]-(1+deb_dimJF)),0))*24-
(IF(WEEKDAY(Horaires3567314[[#This Row],[Date]],2)=7,MAX(0,MIN(fin_dimJF,Horaires3567314[[#This Row],[PNP Fin corrigée]])-MAX(deb_dimJF,Horaires3567314[[#This Row],[PNP Début corrigé]])),0)+IF(WEEKDAY(Horaires3567314[[#This Row],[Date]],2)=6,MAX(0,Horaires3567314[[#This Row],[PNP Fin corrigée]]-(1+deb_dimJF)),0))*24</f>
        <v>0</v>
      </c>
      <c r="R22" s="55">
        <f>(IF(COUNTIF(JF,Horaires3567314[[#This Row],[Date]]),MAX(0,MIN(fin_dimJF,Horaires3567314[[#This Row],[Fin corrigée si nuit]])-MAX(deb_dimJF,Horaires3567314[[#This Row],[début]])),0)+IF(COUNTIF(JF,Horaires3567314[[#This Row],[Date]]+1),MAX(0,Horaires3567314[[#This Row],[Fin corrigée si nuit]]-(1+deb_dimJF)),0))*24</f>
        <v>0</v>
      </c>
      <c r="S22" s="55">
        <f>(IF(COUNTIF(JF,Horaires3567314[[#This Row],[Date]]),MAX(0,MIN(fin_dimJF,Horaires3567314[[#This Row],[Fin corrigée si nuit]])-MAX(deb_dimJF,Horaires3567314[[#This Row],[début]])),0)+IF(COUNTIF(JF,Horaires3567314[[#This Row],[Date]]+1),MAX(0,Horaires3567314[[#This Row],[Fin corrigée si nuit]]-(1+deb_dimJF)),0))*24-
(IF(COUNTIF(JF,Horaires3567314[[#This Row],[Date]]),MAX(0,MIN(fin_dimJF,Horaires3567314[[#This Row],[PNP Fin corrigée]])-MAX(deb_dimJF,Horaires3567314[[#This Row],[PNP Début corrigé]])),0)+IF(COUNTIF(JF,Horaires3567314[[#This Row],[Date]]+1),MAX(0,Horaires3567314[[#This Row],[PNP Fin corrigée]]-(1+deb_dimJF)),0))*24</f>
        <v>0</v>
      </c>
    </row>
    <row r="23" spans="1:19" x14ac:dyDescent="0.35">
      <c r="A23" s="5"/>
      <c r="B23" s="1"/>
      <c r="C23" s="13"/>
      <c r="D23" s="13"/>
      <c r="E23" s="3"/>
      <c r="F23" s="3"/>
      <c r="G23" s="3"/>
      <c r="H23" s="3"/>
      <c r="I23" s="51">
        <f>0.1*(Horaires3567314[[#This Row],[Heures de nuit]]+Horaires3567314[[#This Row],[heures jour dimanche]]+Horaires3567314[[#This Row],[heures jour fériés]])</f>
        <v>0</v>
      </c>
      <c r="J23" s="52">
        <f>(MOD(Horaires3567314[[#This Row],[Fin]]-Horaires3567314[[#This Row],[début]],1)-MOD(Horaires3567314[[#This Row],[PNP Fin]]-Horaires3567314[[#This Row],[PNP Début]],1))*24</f>
        <v>0</v>
      </c>
      <c r="K23" s="53">
        <f>IF(Horaires3567314[[#This Row],[PNP Début]]=0,0,IF(Horaires3567314[[#This Row],[PNP Début]]&lt;Horaires3567314[[#This Row],[début]],1,0)+Horaires3567314[[#This Row],[PNP Début]])</f>
        <v>0</v>
      </c>
      <c r="L23" s="54">
        <f>IF(Horaires3567314[[#This Row],[PNP Fin]]=0,0,IF(Horaires3567314[[#This Row],[PNP Fin]]&lt;Horaires3567314[[#This Row],[début]],1,0)+Horaires3567314[[#This Row],[PNP Fin]])</f>
        <v>0</v>
      </c>
      <c r="M23" s="54">
        <f>IF(Horaires3567314[[#This Row],[Fin]]&lt;Horaires3567314[[#This Row],[début]],1,0)+Horaires3567314[[#This Row],[Fin]]</f>
        <v>0</v>
      </c>
      <c r="N23" s="35">
        <f>IF(Horaires3567314[[#This Row],[Fin]]&lt;Horaires3567314[[#This Row],[début]],MAX(0,MIN(Horaires3567314[[#This Row],[Fin corrigée si nuit]],fin_nuit)-MAX(Horaires3567314[[#This Row],[début]],deb_nuit))*24,(MAX(deb_nuit,Horaires3567314[[#This Row],[Fin]])-MAX(deb_nuit,Horaires3567314[[#This Row],[début]])+MAX(MIN(fin_nuit-1,Horaires3567314[[#This Row],[Fin]])-MIN(fin_nuit-1,Horaires3567314[[#This Row],[début]]),0))*24)</f>
        <v>0</v>
      </c>
      <c r="O23" s="55">
        <f>(MAX(0,MIN(Horaires3567314[[#This Row],[Fin corrigée si nuit]],fin_nuit)-MAX(Horaires3567314[[#This Row],[début]],deb_nuit))-IF(Horaires3567314[[#This Row],[PNP Début]]=0,0,MIN(Horaires3567314[[#This Row],[PNP Fin corrigée]],fin_nuit)-MAX(Horaires3567314[[#This Row],[PNP Début corrigé]],deb_nuit)))*24</f>
        <v>0</v>
      </c>
      <c r="P23" s="55">
        <f>(IF(WEEKDAY(Horaires3567314[[#This Row],[Date]],2)=7,MAX(0,MIN(fin_dimJF,Horaires3567314[[#This Row],[Fin corrigée si nuit]])-MAX(deb_dimJF,Horaires3567314[[#This Row],[début]])),0)+IF(WEEKDAY(Horaires3567314[[#This Row],[Date]],2)=6,MAX(0,Horaires3567314[[#This Row],[Fin corrigée si nuit]]-(1+deb_dimJF)),0))*24</f>
        <v>0</v>
      </c>
      <c r="Q23" s="55">
        <f>(IF(WEEKDAY(Horaires3567314[[#This Row],[Date]],2)=7,MAX(0,MIN(fin_dimJF,Horaires3567314[[#This Row],[Fin corrigée si nuit]])-MAX(deb_dimJF,Horaires3567314[[#This Row],[début]])),0)+IF(WEEKDAY(Horaires3567314[[#This Row],[Date]],2)=6,MAX(0,Horaires3567314[[#This Row],[Fin corrigée si nuit]]-(1+deb_dimJF)),0))*24-
(IF(WEEKDAY(Horaires3567314[[#This Row],[Date]],2)=7,MAX(0,MIN(fin_dimJF,Horaires3567314[[#This Row],[PNP Fin corrigée]])-MAX(deb_dimJF,Horaires3567314[[#This Row],[PNP Début corrigé]])),0)+IF(WEEKDAY(Horaires3567314[[#This Row],[Date]],2)=6,MAX(0,Horaires3567314[[#This Row],[PNP Fin corrigée]]-(1+deb_dimJF)),0))*24</f>
        <v>0</v>
      </c>
      <c r="R23" s="55">
        <f>(IF(COUNTIF(JF,Horaires3567314[[#This Row],[Date]]),MAX(0,MIN(fin_dimJF,Horaires3567314[[#This Row],[Fin corrigée si nuit]])-MAX(deb_dimJF,Horaires3567314[[#This Row],[début]])),0)+IF(COUNTIF(JF,Horaires3567314[[#This Row],[Date]]+1),MAX(0,Horaires3567314[[#This Row],[Fin corrigée si nuit]]-(1+deb_dimJF)),0))*24</f>
        <v>0</v>
      </c>
      <c r="S23" s="55">
        <f>(IF(COUNTIF(JF,Horaires3567314[[#This Row],[Date]]),MAX(0,MIN(fin_dimJF,Horaires3567314[[#This Row],[Fin corrigée si nuit]])-MAX(deb_dimJF,Horaires3567314[[#This Row],[début]])),0)+IF(COUNTIF(JF,Horaires3567314[[#This Row],[Date]]+1),MAX(0,Horaires3567314[[#This Row],[Fin corrigée si nuit]]-(1+deb_dimJF)),0))*24-
(IF(COUNTIF(JF,Horaires3567314[[#This Row],[Date]]),MAX(0,MIN(fin_dimJF,Horaires3567314[[#This Row],[PNP Fin corrigée]])-MAX(deb_dimJF,Horaires3567314[[#This Row],[PNP Début corrigé]])),0)+IF(COUNTIF(JF,Horaires3567314[[#This Row],[Date]]+1),MAX(0,Horaires3567314[[#This Row],[PNP Fin corrigée]]-(1+deb_dimJF)),0))*24</f>
        <v>0</v>
      </c>
    </row>
    <row r="24" spans="1:19" x14ac:dyDescent="0.35">
      <c r="A24" s="5"/>
      <c r="B24" s="1"/>
      <c r="C24" s="2"/>
      <c r="D24" s="2"/>
      <c r="E24" s="3"/>
      <c r="F24" s="3"/>
      <c r="G24" s="3"/>
      <c r="H24" s="3"/>
      <c r="I24" s="51">
        <f>0.1*(Horaires3567314[[#This Row],[Heures de nuit]]+Horaires3567314[[#This Row],[heures jour dimanche]]+Horaires3567314[[#This Row],[heures jour fériés]])</f>
        <v>0</v>
      </c>
      <c r="J24" s="52">
        <f>(MOD(Horaires3567314[[#This Row],[Fin]]-Horaires3567314[[#This Row],[début]],1)-MOD(Horaires3567314[[#This Row],[PNP Fin]]-Horaires3567314[[#This Row],[PNP Début]],1))*24</f>
        <v>0</v>
      </c>
      <c r="K24" s="53">
        <f>IF(Horaires3567314[[#This Row],[PNP Début]]=0,0,IF(Horaires3567314[[#This Row],[PNP Début]]&lt;Horaires3567314[[#This Row],[début]],1,0)+Horaires3567314[[#This Row],[PNP Début]])</f>
        <v>0</v>
      </c>
      <c r="L24" s="54">
        <f>IF(Horaires3567314[[#This Row],[PNP Fin]]=0,0,IF(Horaires3567314[[#This Row],[PNP Fin]]&lt;Horaires3567314[[#This Row],[début]],1,0)+Horaires3567314[[#This Row],[PNP Fin]])</f>
        <v>0</v>
      </c>
      <c r="M24" s="54">
        <f>IF(Horaires3567314[[#This Row],[Fin]]&lt;Horaires3567314[[#This Row],[début]],1,0)+Horaires3567314[[#This Row],[Fin]]</f>
        <v>0</v>
      </c>
      <c r="N24" s="35">
        <f>IF(Horaires3567314[[#This Row],[Fin]]&lt;Horaires3567314[[#This Row],[début]],MAX(0,MIN(Horaires3567314[[#This Row],[Fin corrigée si nuit]],fin_nuit)-MAX(Horaires3567314[[#This Row],[début]],deb_nuit))*24,(MAX(deb_nuit,Horaires3567314[[#This Row],[Fin]])-MAX(deb_nuit,Horaires3567314[[#This Row],[début]])+MAX(MIN(fin_nuit-1,Horaires3567314[[#This Row],[Fin]])-MIN(fin_nuit-1,Horaires3567314[[#This Row],[début]]),0))*24)</f>
        <v>0</v>
      </c>
      <c r="O24" s="55">
        <f>(MAX(0,MIN(Horaires3567314[[#This Row],[Fin corrigée si nuit]],fin_nuit)-MAX(Horaires3567314[[#This Row],[début]],deb_nuit))-IF(Horaires3567314[[#This Row],[PNP Début]]=0,0,MIN(Horaires3567314[[#This Row],[PNP Fin corrigée]],fin_nuit)-MAX(Horaires3567314[[#This Row],[PNP Début corrigé]],deb_nuit)))*24</f>
        <v>0</v>
      </c>
      <c r="P24" s="55">
        <f>(IF(WEEKDAY(Horaires3567314[[#This Row],[Date]],2)=7,MAX(0,MIN(fin_dimJF,Horaires3567314[[#This Row],[Fin corrigée si nuit]])-MAX(deb_dimJF,Horaires3567314[[#This Row],[début]])),0)+IF(WEEKDAY(Horaires3567314[[#This Row],[Date]],2)=6,MAX(0,Horaires3567314[[#This Row],[Fin corrigée si nuit]]-(1+deb_dimJF)),0))*24</f>
        <v>0</v>
      </c>
      <c r="Q24" s="55">
        <f>(IF(WEEKDAY(Horaires3567314[[#This Row],[Date]],2)=7,MAX(0,MIN(fin_dimJF,Horaires3567314[[#This Row],[Fin corrigée si nuit]])-MAX(deb_dimJF,Horaires3567314[[#This Row],[début]])),0)+IF(WEEKDAY(Horaires3567314[[#This Row],[Date]],2)=6,MAX(0,Horaires3567314[[#This Row],[Fin corrigée si nuit]]-(1+deb_dimJF)),0))*24-
(IF(WEEKDAY(Horaires3567314[[#This Row],[Date]],2)=7,MAX(0,MIN(fin_dimJF,Horaires3567314[[#This Row],[PNP Fin corrigée]])-MAX(deb_dimJF,Horaires3567314[[#This Row],[PNP Début corrigé]])),0)+IF(WEEKDAY(Horaires3567314[[#This Row],[Date]],2)=6,MAX(0,Horaires3567314[[#This Row],[PNP Fin corrigée]]-(1+deb_dimJF)),0))*24</f>
        <v>0</v>
      </c>
      <c r="R24" s="55">
        <f>(IF(COUNTIF(JF,Horaires3567314[[#This Row],[Date]]),MAX(0,MIN(fin_dimJF,Horaires3567314[[#This Row],[Fin corrigée si nuit]])-MAX(deb_dimJF,Horaires3567314[[#This Row],[début]])),0)+IF(COUNTIF(JF,Horaires3567314[[#This Row],[Date]]+1),MAX(0,Horaires3567314[[#This Row],[Fin corrigée si nuit]]-(1+deb_dimJF)),0))*24</f>
        <v>0</v>
      </c>
      <c r="S24" s="55">
        <f>(IF(COUNTIF(JF,Horaires3567314[[#This Row],[Date]]),MAX(0,MIN(fin_dimJF,Horaires3567314[[#This Row],[Fin corrigée si nuit]])-MAX(deb_dimJF,Horaires3567314[[#This Row],[début]])),0)+IF(COUNTIF(JF,Horaires3567314[[#This Row],[Date]]+1),MAX(0,Horaires3567314[[#This Row],[Fin corrigée si nuit]]-(1+deb_dimJF)),0))*24-
(IF(COUNTIF(JF,Horaires3567314[[#This Row],[Date]]),MAX(0,MIN(fin_dimJF,Horaires3567314[[#This Row],[PNP Fin corrigée]])-MAX(deb_dimJF,Horaires3567314[[#This Row],[PNP Début corrigé]])),0)+IF(COUNTIF(JF,Horaires3567314[[#This Row],[Date]]+1),MAX(0,Horaires3567314[[#This Row],[PNP Fin corrigée]]-(1+deb_dimJF)),0))*24</f>
        <v>0</v>
      </c>
    </row>
    <row r="25" spans="1:19" x14ac:dyDescent="0.35">
      <c r="A25" s="5"/>
      <c r="B25" s="1"/>
      <c r="C25" s="2"/>
      <c r="D25" s="2"/>
      <c r="E25" s="3"/>
      <c r="F25" s="3"/>
      <c r="G25" s="3"/>
      <c r="H25" s="3"/>
      <c r="I25" s="51">
        <f>0.1*(Horaires3567314[[#This Row],[Heures de nuit]]+Horaires3567314[[#This Row],[heures jour dimanche]]+Horaires3567314[[#This Row],[heures jour fériés]])</f>
        <v>0</v>
      </c>
      <c r="J25" s="52">
        <f>(MOD(Horaires3567314[[#This Row],[Fin]]-Horaires3567314[[#This Row],[début]],1)-MOD(Horaires3567314[[#This Row],[PNP Fin]]-Horaires3567314[[#This Row],[PNP Début]],1))*24</f>
        <v>0</v>
      </c>
      <c r="K25" s="53">
        <f>IF(Horaires3567314[[#This Row],[PNP Début]]=0,0,IF(Horaires3567314[[#This Row],[PNP Début]]&lt;Horaires3567314[[#This Row],[début]],1,0)+Horaires3567314[[#This Row],[PNP Début]])</f>
        <v>0</v>
      </c>
      <c r="L25" s="54">
        <f>IF(Horaires3567314[[#This Row],[PNP Fin]]=0,0,IF(Horaires3567314[[#This Row],[PNP Fin]]&lt;Horaires3567314[[#This Row],[début]],1,0)+Horaires3567314[[#This Row],[PNP Fin]])</f>
        <v>0</v>
      </c>
      <c r="M25" s="54">
        <f>IF(Horaires3567314[[#This Row],[Fin]]&lt;Horaires3567314[[#This Row],[début]],1,0)+Horaires3567314[[#This Row],[Fin]]</f>
        <v>0</v>
      </c>
      <c r="N25" s="35">
        <f>IF(Horaires3567314[[#This Row],[Fin]]&lt;Horaires3567314[[#This Row],[début]],MAX(0,MIN(Horaires3567314[[#This Row],[Fin corrigée si nuit]],fin_nuit)-MAX(Horaires3567314[[#This Row],[début]],deb_nuit))*24,(MAX(deb_nuit,Horaires3567314[[#This Row],[Fin]])-MAX(deb_nuit,Horaires3567314[[#This Row],[début]])+MAX(MIN(fin_nuit-1,Horaires3567314[[#This Row],[Fin]])-MIN(fin_nuit-1,Horaires3567314[[#This Row],[début]]),0))*24)</f>
        <v>0</v>
      </c>
      <c r="O25" s="55">
        <f>(MAX(0,MIN(Horaires3567314[[#This Row],[Fin corrigée si nuit]],fin_nuit)-MAX(Horaires3567314[[#This Row],[début]],deb_nuit))-IF(Horaires3567314[[#This Row],[PNP Début]]=0,0,MIN(Horaires3567314[[#This Row],[PNP Fin corrigée]],fin_nuit)-MAX(Horaires3567314[[#This Row],[PNP Début corrigé]],deb_nuit)))*24</f>
        <v>0</v>
      </c>
      <c r="P25" s="55">
        <f>(IF(WEEKDAY(Horaires3567314[[#This Row],[Date]],2)=7,MAX(0,MIN(fin_dimJF,Horaires3567314[[#This Row],[Fin corrigée si nuit]])-MAX(deb_dimJF,Horaires3567314[[#This Row],[début]])),0)+IF(WEEKDAY(Horaires3567314[[#This Row],[Date]],2)=6,MAX(0,Horaires3567314[[#This Row],[Fin corrigée si nuit]]-(1+deb_dimJF)),0))*24</f>
        <v>0</v>
      </c>
      <c r="Q25" s="55">
        <f>(IF(WEEKDAY(Horaires3567314[[#This Row],[Date]],2)=7,MAX(0,MIN(fin_dimJF,Horaires3567314[[#This Row],[Fin corrigée si nuit]])-MAX(deb_dimJF,Horaires3567314[[#This Row],[début]])),0)+IF(WEEKDAY(Horaires3567314[[#This Row],[Date]],2)=6,MAX(0,Horaires3567314[[#This Row],[Fin corrigée si nuit]]-(1+deb_dimJF)),0))*24-
(IF(WEEKDAY(Horaires3567314[[#This Row],[Date]],2)=7,MAX(0,MIN(fin_dimJF,Horaires3567314[[#This Row],[PNP Fin corrigée]])-MAX(deb_dimJF,Horaires3567314[[#This Row],[PNP Début corrigé]])),0)+IF(WEEKDAY(Horaires3567314[[#This Row],[Date]],2)=6,MAX(0,Horaires3567314[[#This Row],[PNP Fin corrigée]]-(1+deb_dimJF)),0))*24</f>
        <v>0</v>
      </c>
      <c r="R25" s="55">
        <f>(IF(COUNTIF(JF,Horaires3567314[[#This Row],[Date]]),MAX(0,MIN(fin_dimJF,Horaires3567314[[#This Row],[Fin corrigée si nuit]])-MAX(deb_dimJF,Horaires3567314[[#This Row],[début]])),0)+IF(COUNTIF(JF,Horaires3567314[[#This Row],[Date]]+1),MAX(0,Horaires3567314[[#This Row],[Fin corrigée si nuit]]-(1+deb_dimJF)),0))*24</f>
        <v>0</v>
      </c>
      <c r="S25" s="55">
        <f>(IF(COUNTIF(JF,Horaires3567314[[#This Row],[Date]]),MAX(0,MIN(fin_dimJF,Horaires3567314[[#This Row],[Fin corrigée si nuit]])-MAX(deb_dimJF,Horaires3567314[[#This Row],[début]])),0)+IF(COUNTIF(JF,Horaires3567314[[#This Row],[Date]]+1),MAX(0,Horaires3567314[[#This Row],[Fin corrigée si nuit]]-(1+deb_dimJF)),0))*24-
(IF(COUNTIF(JF,Horaires3567314[[#This Row],[Date]]),MAX(0,MIN(fin_dimJF,Horaires3567314[[#This Row],[PNP Fin corrigée]])-MAX(deb_dimJF,Horaires3567314[[#This Row],[PNP Début corrigé]])),0)+IF(COUNTIF(JF,Horaires3567314[[#This Row],[Date]]+1),MAX(0,Horaires3567314[[#This Row],[PNP Fin corrigée]]-(1+deb_dimJF)),0))*24</f>
        <v>0</v>
      </c>
    </row>
    <row r="26" spans="1:19" ht="14.4" customHeight="1" x14ac:dyDescent="0.35">
      <c r="A26" s="5"/>
      <c r="B26" s="1"/>
      <c r="C26" s="2"/>
      <c r="D26" s="2"/>
      <c r="E26" s="3"/>
      <c r="F26" s="3"/>
      <c r="G26" s="3"/>
      <c r="H26" s="3"/>
      <c r="I26" s="51">
        <f>0.1*(Horaires3567314[[#This Row],[Heures de nuit]]+Horaires3567314[[#This Row],[heures jour dimanche]]+Horaires3567314[[#This Row],[heures jour fériés]])</f>
        <v>0</v>
      </c>
      <c r="J26" s="52">
        <f>(MOD(Horaires3567314[[#This Row],[Fin]]-Horaires3567314[[#This Row],[début]],1)-MOD(Horaires3567314[[#This Row],[PNP Fin]]-Horaires3567314[[#This Row],[PNP Début]],1))*24</f>
        <v>0</v>
      </c>
      <c r="K26" s="53">
        <f>IF(Horaires3567314[[#This Row],[PNP Début]]=0,0,IF(Horaires3567314[[#This Row],[PNP Début]]&lt;Horaires3567314[[#This Row],[début]],1,0)+Horaires3567314[[#This Row],[PNP Début]])</f>
        <v>0</v>
      </c>
      <c r="L26" s="54">
        <f>IF(Horaires3567314[[#This Row],[PNP Fin]]=0,0,IF(Horaires3567314[[#This Row],[PNP Fin]]&lt;Horaires3567314[[#This Row],[début]],1,0)+Horaires3567314[[#This Row],[PNP Fin]])</f>
        <v>0</v>
      </c>
      <c r="M26" s="54">
        <f>IF(Horaires3567314[[#This Row],[Fin]]&lt;Horaires3567314[[#This Row],[début]],1,0)+Horaires3567314[[#This Row],[Fin]]</f>
        <v>0</v>
      </c>
      <c r="N26" s="35">
        <f>IF(Horaires3567314[[#This Row],[Fin]]&lt;Horaires3567314[[#This Row],[début]],MAX(0,MIN(Horaires3567314[[#This Row],[Fin corrigée si nuit]],fin_nuit)-MAX(Horaires3567314[[#This Row],[début]],deb_nuit))*24,(MAX(deb_nuit,Horaires3567314[[#This Row],[Fin]])-MAX(deb_nuit,Horaires3567314[[#This Row],[début]])+MAX(MIN(fin_nuit-1,Horaires3567314[[#This Row],[Fin]])-MIN(fin_nuit-1,Horaires3567314[[#This Row],[début]]),0))*24)</f>
        <v>0</v>
      </c>
      <c r="O26" s="55">
        <f>(MAX(0,MIN(Horaires3567314[[#This Row],[Fin corrigée si nuit]],fin_nuit)-MAX(Horaires3567314[[#This Row],[début]],deb_nuit))-IF(Horaires3567314[[#This Row],[PNP Début]]=0,0,MIN(Horaires3567314[[#This Row],[PNP Fin corrigée]],fin_nuit)-MAX(Horaires3567314[[#This Row],[PNP Début corrigé]],deb_nuit)))*24</f>
        <v>0</v>
      </c>
      <c r="P26" s="55">
        <f>(IF(WEEKDAY(Horaires3567314[[#This Row],[Date]],2)=7,MAX(0,MIN(fin_dimJF,Horaires3567314[[#This Row],[Fin corrigée si nuit]])-MAX(deb_dimJF,Horaires3567314[[#This Row],[début]])),0)+IF(WEEKDAY(Horaires3567314[[#This Row],[Date]],2)=6,MAX(0,Horaires3567314[[#This Row],[Fin corrigée si nuit]]-(1+deb_dimJF)),0))*24</f>
        <v>0</v>
      </c>
      <c r="Q26" s="55">
        <f>(IF(WEEKDAY(Horaires3567314[[#This Row],[Date]],2)=7,MAX(0,MIN(fin_dimJF,Horaires3567314[[#This Row],[Fin corrigée si nuit]])-MAX(deb_dimJF,Horaires3567314[[#This Row],[début]])),0)+IF(WEEKDAY(Horaires3567314[[#This Row],[Date]],2)=6,MAX(0,Horaires3567314[[#This Row],[Fin corrigée si nuit]]-(1+deb_dimJF)),0))*24-
(IF(WEEKDAY(Horaires3567314[[#This Row],[Date]],2)=7,MAX(0,MIN(fin_dimJF,Horaires3567314[[#This Row],[PNP Fin corrigée]])-MAX(deb_dimJF,Horaires3567314[[#This Row],[PNP Début corrigé]])),0)+IF(WEEKDAY(Horaires3567314[[#This Row],[Date]],2)=6,MAX(0,Horaires3567314[[#This Row],[PNP Fin corrigée]]-(1+deb_dimJF)),0))*24</f>
        <v>0</v>
      </c>
      <c r="R26" s="55">
        <f>(IF(COUNTIF(JF,Horaires3567314[[#This Row],[Date]]),MAX(0,MIN(fin_dimJF,Horaires3567314[[#This Row],[Fin corrigée si nuit]])-MAX(deb_dimJF,Horaires3567314[[#This Row],[début]])),0)+IF(COUNTIF(JF,Horaires3567314[[#This Row],[Date]]+1),MAX(0,Horaires3567314[[#This Row],[Fin corrigée si nuit]]-(1+deb_dimJF)),0))*24</f>
        <v>0</v>
      </c>
      <c r="S26" s="55">
        <f>(IF(COUNTIF(JF,Horaires3567314[[#This Row],[Date]]),MAX(0,MIN(fin_dimJF,Horaires3567314[[#This Row],[Fin corrigée si nuit]])-MAX(deb_dimJF,Horaires3567314[[#This Row],[début]])),0)+IF(COUNTIF(JF,Horaires3567314[[#This Row],[Date]]+1),MAX(0,Horaires3567314[[#This Row],[Fin corrigée si nuit]]-(1+deb_dimJF)),0))*24-
(IF(COUNTIF(JF,Horaires3567314[[#This Row],[Date]]),MAX(0,MIN(fin_dimJF,Horaires3567314[[#This Row],[PNP Fin corrigée]])-MAX(deb_dimJF,Horaires3567314[[#This Row],[PNP Début corrigé]])),0)+IF(COUNTIF(JF,Horaires3567314[[#This Row],[Date]]+1),MAX(0,Horaires3567314[[#This Row],[PNP Fin corrigée]]-(1+deb_dimJF)),0))*24</f>
        <v>0</v>
      </c>
    </row>
    <row r="27" spans="1:19" x14ac:dyDescent="0.35">
      <c r="A27" s="5"/>
      <c r="B27" s="1"/>
      <c r="C27" s="2"/>
      <c r="D27" s="2"/>
      <c r="E27" s="3"/>
      <c r="F27" s="3"/>
      <c r="G27" s="3"/>
      <c r="H27" s="3"/>
      <c r="I27" s="51">
        <f>0.1*(Horaires3567314[[#This Row],[Heures de nuit]]+Horaires3567314[[#This Row],[heures jour dimanche]]+Horaires3567314[[#This Row],[heures jour fériés]])</f>
        <v>0</v>
      </c>
      <c r="J27" s="52">
        <f>(MOD(Horaires3567314[[#This Row],[Fin]]-Horaires3567314[[#This Row],[début]],1)-MOD(Horaires3567314[[#This Row],[PNP Fin]]-Horaires3567314[[#This Row],[PNP Début]],1))*24</f>
        <v>0</v>
      </c>
      <c r="K27" s="53">
        <f>IF(Horaires3567314[[#This Row],[PNP Début]]=0,0,IF(Horaires3567314[[#This Row],[PNP Début]]&lt;Horaires3567314[[#This Row],[début]],1,0)+Horaires3567314[[#This Row],[PNP Début]])</f>
        <v>0</v>
      </c>
      <c r="L27" s="54">
        <f>IF(Horaires3567314[[#This Row],[PNP Fin]]=0,0,IF(Horaires3567314[[#This Row],[PNP Fin]]&lt;Horaires3567314[[#This Row],[début]],1,0)+Horaires3567314[[#This Row],[PNP Fin]])</f>
        <v>0</v>
      </c>
      <c r="M27" s="54">
        <f>IF(Horaires3567314[[#This Row],[Fin]]&lt;Horaires3567314[[#This Row],[début]],1,0)+Horaires3567314[[#This Row],[Fin]]</f>
        <v>0</v>
      </c>
      <c r="N27" s="35">
        <f>IF(Horaires3567314[[#This Row],[Fin]]&lt;Horaires3567314[[#This Row],[début]],MAX(0,MIN(Horaires3567314[[#This Row],[Fin corrigée si nuit]],fin_nuit)-MAX(Horaires3567314[[#This Row],[début]],deb_nuit))*24,(MAX(deb_nuit,Horaires3567314[[#This Row],[Fin]])-MAX(deb_nuit,Horaires3567314[[#This Row],[début]])+MAX(MIN(fin_nuit-1,Horaires3567314[[#This Row],[Fin]])-MIN(fin_nuit-1,Horaires3567314[[#This Row],[début]]),0))*24)</f>
        <v>0</v>
      </c>
      <c r="O27" s="55">
        <f>(MAX(0,MIN(Horaires3567314[[#This Row],[Fin corrigée si nuit]],fin_nuit)-MAX(Horaires3567314[[#This Row],[début]],deb_nuit))-IF(Horaires3567314[[#This Row],[PNP Début]]=0,0,MIN(Horaires3567314[[#This Row],[PNP Fin corrigée]],fin_nuit)-MAX(Horaires3567314[[#This Row],[PNP Début corrigé]],deb_nuit)))*24</f>
        <v>0</v>
      </c>
      <c r="P27" s="55">
        <f>(IF(WEEKDAY(Horaires3567314[[#This Row],[Date]],2)=7,MAX(0,MIN(fin_dimJF,Horaires3567314[[#This Row],[Fin corrigée si nuit]])-MAX(deb_dimJF,Horaires3567314[[#This Row],[début]])),0)+IF(WEEKDAY(Horaires3567314[[#This Row],[Date]],2)=6,MAX(0,Horaires3567314[[#This Row],[Fin corrigée si nuit]]-(1+deb_dimJF)),0))*24</f>
        <v>0</v>
      </c>
      <c r="Q27" s="55">
        <f>(IF(WEEKDAY(Horaires3567314[[#This Row],[Date]],2)=7,MAX(0,MIN(fin_dimJF,Horaires3567314[[#This Row],[Fin corrigée si nuit]])-MAX(deb_dimJF,Horaires3567314[[#This Row],[début]])),0)+IF(WEEKDAY(Horaires3567314[[#This Row],[Date]],2)=6,MAX(0,Horaires3567314[[#This Row],[Fin corrigée si nuit]]-(1+deb_dimJF)),0))*24-
(IF(WEEKDAY(Horaires3567314[[#This Row],[Date]],2)=7,MAX(0,MIN(fin_dimJF,Horaires3567314[[#This Row],[PNP Fin corrigée]])-MAX(deb_dimJF,Horaires3567314[[#This Row],[PNP Début corrigé]])),0)+IF(WEEKDAY(Horaires3567314[[#This Row],[Date]],2)=6,MAX(0,Horaires3567314[[#This Row],[PNP Fin corrigée]]-(1+deb_dimJF)),0))*24</f>
        <v>0</v>
      </c>
      <c r="R27" s="55">
        <f>(IF(COUNTIF(JF,Horaires3567314[[#This Row],[Date]]),MAX(0,MIN(fin_dimJF,Horaires3567314[[#This Row],[Fin corrigée si nuit]])-MAX(deb_dimJF,Horaires3567314[[#This Row],[début]])),0)+IF(COUNTIF(JF,Horaires3567314[[#This Row],[Date]]+1),MAX(0,Horaires3567314[[#This Row],[Fin corrigée si nuit]]-(1+deb_dimJF)),0))*24</f>
        <v>0</v>
      </c>
      <c r="S27" s="55">
        <f>(IF(COUNTIF(JF,Horaires3567314[[#This Row],[Date]]),MAX(0,MIN(fin_dimJF,Horaires3567314[[#This Row],[Fin corrigée si nuit]])-MAX(deb_dimJF,Horaires3567314[[#This Row],[début]])),0)+IF(COUNTIF(JF,Horaires3567314[[#This Row],[Date]]+1),MAX(0,Horaires3567314[[#This Row],[Fin corrigée si nuit]]-(1+deb_dimJF)),0))*24-
(IF(COUNTIF(JF,Horaires3567314[[#This Row],[Date]]),MAX(0,MIN(fin_dimJF,Horaires3567314[[#This Row],[PNP Fin corrigée]])-MAX(deb_dimJF,Horaires3567314[[#This Row],[PNP Début corrigé]])),0)+IF(COUNTIF(JF,Horaires3567314[[#This Row],[Date]]+1),MAX(0,Horaires3567314[[#This Row],[PNP Fin corrigée]]-(1+deb_dimJF)),0))*24</f>
        <v>0</v>
      </c>
    </row>
    <row r="28" spans="1:19" x14ac:dyDescent="0.35">
      <c r="A28" s="5"/>
      <c r="B28" s="1"/>
      <c r="C28" s="2"/>
      <c r="D28" s="2"/>
      <c r="E28" s="3"/>
      <c r="F28" s="3"/>
      <c r="G28" s="3"/>
      <c r="H28" s="3"/>
      <c r="I28" s="51">
        <f>0.1*(Horaires3567314[[#This Row],[Heures de nuit]]+Horaires3567314[[#This Row],[heures jour dimanche]]+Horaires3567314[[#This Row],[heures jour fériés]])</f>
        <v>0</v>
      </c>
      <c r="J28" s="52">
        <f>(MOD(Horaires3567314[[#This Row],[Fin]]-Horaires3567314[[#This Row],[début]],1)-MOD(Horaires3567314[[#This Row],[PNP Fin]]-Horaires3567314[[#This Row],[PNP Début]],1))*24</f>
        <v>0</v>
      </c>
      <c r="K28" s="53">
        <f>IF(Horaires3567314[[#This Row],[PNP Début]]=0,0,IF(Horaires3567314[[#This Row],[PNP Début]]&lt;Horaires3567314[[#This Row],[début]],1,0)+Horaires3567314[[#This Row],[PNP Début]])</f>
        <v>0</v>
      </c>
      <c r="L28" s="54">
        <f>IF(Horaires3567314[[#This Row],[PNP Fin]]=0,0,IF(Horaires3567314[[#This Row],[PNP Fin]]&lt;Horaires3567314[[#This Row],[début]],1,0)+Horaires3567314[[#This Row],[PNP Fin]])</f>
        <v>0</v>
      </c>
      <c r="M28" s="54">
        <f>IF(Horaires3567314[[#This Row],[Fin]]&lt;Horaires3567314[[#This Row],[début]],1,0)+Horaires3567314[[#This Row],[Fin]]</f>
        <v>0</v>
      </c>
      <c r="N28" s="35">
        <f>IF(Horaires3567314[[#This Row],[Fin]]&lt;Horaires3567314[[#This Row],[début]],MAX(0,MIN(Horaires3567314[[#This Row],[Fin corrigée si nuit]],fin_nuit)-MAX(Horaires3567314[[#This Row],[début]],deb_nuit))*24,(MAX(deb_nuit,Horaires3567314[[#This Row],[Fin]])-MAX(deb_nuit,Horaires3567314[[#This Row],[début]])+MAX(MIN(fin_nuit-1,Horaires3567314[[#This Row],[Fin]])-MIN(fin_nuit-1,Horaires3567314[[#This Row],[début]]),0))*24)</f>
        <v>0</v>
      </c>
      <c r="O28" s="55">
        <f>(MAX(0,MIN(Horaires3567314[[#This Row],[Fin corrigée si nuit]],fin_nuit)-MAX(Horaires3567314[[#This Row],[début]],deb_nuit))-IF(Horaires3567314[[#This Row],[PNP Début]]=0,0,MIN(Horaires3567314[[#This Row],[PNP Fin corrigée]],fin_nuit)-MAX(Horaires3567314[[#This Row],[PNP Début corrigé]],deb_nuit)))*24</f>
        <v>0</v>
      </c>
      <c r="P28" s="55">
        <f>(IF(WEEKDAY(Horaires3567314[[#This Row],[Date]],2)=7,MAX(0,MIN(fin_dimJF,Horaires3567314[[#This Row],[Fin corrigée si nuit]])-MAX(deb_dimJF,Horaires3567314[[#This Row],[début]])),0)+IF(WEEKDAY(Horaires3567314[[#This Row],[Date]],2)=6,MAX(0,Horaires3567314[[#This Row],[Fin corrigée si nuit]]-(1+deb_dimJF)),0))*24</f>
        <v>0</v>
      </c>
      <c r="Q28" s="55">
        <f>(IF(WEEKDAY(Horaires3567314[[#This Row],[Date]],2)=7,MAX(0,MIN(fin_dimJF,Horaires3567314[[#This Row],[Fin corrigée si nuit]])-MAX(deb_dimJF,Horaires3567314[[#This Row],[début]])),0)+IF(WEEKDAY(Horaires3567314[[#This Row],[Date]],2)=6,MAX(0,Horaires3567314[[#This Row],[Fin corrigée si nuit]]-(1+deb_dimJF)),0))*24-
(IF(WEEKDAY(Horaires3567314[[#This Row],[Date]],2)=7,MAX(0,MIN(fin_dimJF,Horaires3567314[[#This Row],[PNP Fin corrigée]])-MAX(deb_dimJF,Horaires3567314[[#This Row],[PNP Début corrigé]])),0)+IF(WEEKDAY(Horaires3567314[[#This Row],[Date]],2)=6,MAX(0,Horaires3567314[[#This Row],[PNP Fin corrigée]]-(1+deb_dimJF)),0))*24</f>
        <v>0</v>
      </c>
      <c r="R28" s="55">
        <f>(IF(COUNTIF(JF,Horaires3567314[[#This Row],[Date]]),MAX(0,MIN(fin_dimJF,Horaires3567314[[#This Row],[Fin corrigée si nuit]])-MAX(deb_dimJF,Horaires3567314[[#This Row],[début]])),0)+IF(COUNTIF(JF,Horaires3567314[[#This Row],[Date]]+1),MAX(0,Horaires3567314[[#This Row],[Fin corrigée si nuit]]-(1+deb_dimJF)),0))*24</f>
        <v>0</v>
      </c>
      <c r="S28" s="55">
        <f>(IF(COUNTIF(JF,Horaires3567314[[#This Row],[Date]]),MAX(0,MIN(fin_dimJF,Horaires3567314[[#This Row],[Fin corrigée si nuit]])-MAX(deb_dimJF,Horaires3567314[[#This Row],[début]])),0)+IF(COUNTIF(JF,Horaires3567314[[#This Row],[Date]]+1),MAX(0,Horaires3567314[[#This Row],[Fin corrigée si nuit]]-(1+deb_dimJF)),0))*24-
(IF(COUNTIF(JF,Horaires3567314[[#This Row],[Date]]),MAX(0,MIN(fin_dimJF,Horaires3567314[[#This Row],[PNP Fin corrigée]])-MAX(deb_dimJF,Horaires3567314[[#This Row],[PNP Début corrigé]])),0)+IF(COUNTIF(JF,Horaires3567314[[#This Row],[Date]]+1),MAX(0,Horaires3567314[[#This Row],[PNP Fin corrigée]]-(1+deb_dimJF)),0))*24</f>
        <v>0</v>
      </c>
    </row>
    <row r="29" spans="1:19" x14ac:dyDescent="0.35">
      <c r="A29" s="5"/>
      <c r="B29" s="1"/>
      <c r="C29" s="2"/>
      <c r="D29" s="2"/>
      <c r="E29" s="3"/>
      <c r="F29" s="3"/>
      <c r="G29" s="3"/>
      <c r="H29" s="3"/>
      <c r="I29" s="51">
        <f>0.1*(Horaires3567314[[#This Row],[Heures de nuit]]+Horaires3567314[[#This Row],[heures jour dimanche]]+Horaires3567314[[#This Row],[heures jour fériés]])</f>
        <v>0</v>
      </c>
      <c r="J29" s="52">
        <f>(MOD(Horaires3567314[[#This Row],[Fin]]-Horaires3567314[[#This Row],[début]],1)-MOD(Horaires3567314[[#This Row],[PNP Fin]]-Horaires3567314[[#This Row],[PNP Début]],1))*24</f>
        <v>0</v>
      </c>
      <c r="K29" s="53">
        <f>IF(Horaires3567314[[#This Row],[PNP Début]]=0,0,IF(Horaires3567314[[#This Row],[PNP Début]]&lt;Horaires3567314[[#This Row],[début]],1,0)+Horaires3567314[[#This Row],[PNP Début]])</f>
        <v>0</v>
      </c>
      <c r="L29" s="54">
        <f>IF(Horaires3567314[[#This Row],[PNP Fin]]=0,0,IF(Horaires3567314[[#This Row],[PNP Fin]]&lt;Horaires3567314[[#This Row],[début]],1,0)+Horaires3567314[[#This Row],[PNP Fin]])</f>
        <v>0</v>
      </c>
      <c r="M29" s="54">
        <f>IF(Horaires3567314[[#This Row],[Fin]]&lt;Horaires3567314[[#This Row],[début]],1,0)+Horaires3567314[[#This Row],[Fin]]</f>
        <v>0</v>
      </c>
      <c r="N29" s="35">
        <f>IF(Horaires3567314[[#This Row],[Fin]]&lt;Horaires3567314[[#This Row],[début]],MAX(0,MIN(Horaires3567314[[#This Row],[Fin corrigée si nuit]],fin_nuit)-MAX(Horaires3567314[[#This Row],[début]],deb_nuit))*24,(MAX(deb_nuit,Horaires3567314[[#This Row],[Fin]])-MAX(deb_nuit,Horaires3567314[[#This Row],[début]])+MAX(MIN(fin_nuit-1,Horaires3567314[[#This Row],[Fin]])-MIN(fin_nuit-1,Horaires3567314[[#This Row],[début]]),0))*24)</f>
        <v>0</v>
      </c>
      <c r="O29" s="55">
        <f>(MAX(0,MIN(Horaires3567314[[#This Row],[Fin corrigée si nuit]],fin_nuit)-MAX(Horaires3567314[[#This Row],[début]],deb_nuit))-IF(Horaires3567314[[#This Row],[PNP Début]]=0,0,MIN(Horaires3567314[[#This Row],[PNP Fin corrigée]],fin_nuit)-MAX(Horaires3567314[[#This Row],[PNP Début corrigé]],deb_nuit)))*24</f>
        <v>0</v>
      </c>
      <c r="P29" s="55">
        <f>(IF(WEEKDAY(Horaires3567314[[#This Row],[Date]],2)=7,MAX(0,MIN(fin_dimJF,Horaires3567314[[#This Row],[Fin corrigée si nuit]])-MAX(deb_dimJF,Horaires3567314[[#This Row],[début]])),0)+IF(WEEKDAY(Horaires3567314[[#This Row],[Date]],2)=6,MAX(0,Horaires3567314[[#This Row],[Fin corrigée si nuit]]-(1+deb_dimJF)),0))*24</f>
        <v>0</v>
      </c>
      <c r="Q29" s="55">
        <f>(IF(WEEKDAY(Horaires3567314[[#This Row],[Date]],2)=7,MAX(0,MIN(fin_dimJF,Horaires3567314[[#This Row],[Fin corrigée si nuit]])-MAX(deb_dimJF,Horaires3567314[[#This Row],[début]])),0)+IF(WEEKDAY(Horaires3567314[[#This Row],[Date]],2)=6,MAX(0,Horaires3567314[[#This Row],[Fin corrigée si nuit]]-(1+deb_dimJF)),0))*24-
(IF(WEEKDAY(Horaires3567314[[#This Row],[Date]],2)=7,MAX(0,MIN(fin_dimJF,Horaires3567314[[#This Row],[PNP Fin corrigée]])-MAX(deb_dimJF,Horaires3567314[[#This Row],[PNP Début corrigé]])),0)+IF(WEEKDAY(Horaires3567314[[#This Row],[Date]],2)=6,MAX(0,Horaires3567314[[#This Row],[PNP Fin corrigée]]-(1+deb_dimJF)),0))*24</f>
        <v>0</v>
      </c>
      <c r="R29" s="55">
        <f>(IF(COUNTIF(JF,Horaires3567314[[#This Row],[Date]]),MAX(0,MIN(fin_dimJF,Horaires3567314[[#This Row],[Fin corrigée si nuit]])-MAX(deb_dimJF,Horaires3567314[[#This Row],[début]])),0)+IF(COUNTIF(JF,Horaires3567314[[#This Row],[Date]]+1),MAX(0,Horaires3567314[[#This Row],[Fin corrigée si nuit]]-(1+deb_dimJF)),0))*24</f>
        <v>0</v>
      </c>
      <c r="S29" s="55">
        <f>(IF(COUNTIF(JF,Horaires3567314[[#This Row],[Date]]),MAX(0,MIN(fin_dimJF,Horaires3567314[[#This Row],[Fin corrigée si nuit]])-MAX(deb_dimJF,Horaires3567314[[#This Row],[début]])),0)+IF(COUNTIF(JF,Horaires3567314[[#This Row],[Date]]+1),MAX(0,Horaires3567314[[#This Row],[Fin corrigée si nuit]]-(1+deb_dimJF)),0))*24-
(IF(COUNTIF(JF,Horaires3567314[[#This Row],[Date]]),MAX(0,MIN(fin_dimJF,Horaires3567314[[#This Row],[PNP Fin corrigée]])-MAX(deb_dimJF,Horaires3567314[[#This Row],[PNP Début corrigé]])),0)+IF(COUNTIF(JF,Horaires3567314[[#This Row],[Date]]+1),MAX(0,Horaires3567314[[#This Row],[PNP Fin corrigée]]-(1+deb_dimJF)),0))*24</f>
        <v>0</v>
      </c>
    </row>
    <row r="30" spans="1:19" x14ac:dyDescent="0.35">
      <c r="A30" s="5"/>
      <c r="B30" s="1"/>
      <c r="C30" s="2"/>
      <c r="D30" s="2"/>
      <c r="E30" s="3"/>
      <c r="F30" s="3"/>
      <c r="G30" s="3"/>
      <c r="H30" s="3"/>
      <c r="I30" s="51">
        <f>0.1*(Horaires3567314[[#This Row],[Heures de nuit]]+Horaires3567314[[#This Row],[heures jour dimanche]]+Horaires3567314[[#This Row],[heures jour fériés]])</f>
        <v>0</v>
      </c>
      <c r="J30" s="52">
        <f>(MOD(Horaires3567314[[#This Row],[Fin]]-Horaires3567314[[#This Row],[début]],1)-MOD(Horaires3567314[[#This Row],[PNP Fin]]-Horaires3567314[[#This Row],[PNP Début]],1))*24</f>
        <v>0</v>
      </c>
      <c r="K30" s="53">
        <f>IF(Horaires3567314[[#This Row],[PNP Début]]=0,0,IF(Horaires3567314[[#This Row],[PNP Début]]&lt;Horaires3567314[[#This Row],[début]],1,0)+Horaires3567314[[#This Row],[PNP Début]])</f>
        <v>0</v>
      </c>
      <c r="L30" s="54">
        <f>IF(Horaires3567314[[#This Row],[PNP Fin]]=0,0,IF(Horaires3567314[[#This Row],[PNP Fin]]&lt;Horaires3567314[[#This Row],[début]],1,0)+Horaires3567314[[#This Row],[PNP Fin]])</f>
        <v>0</v>
      </c>
      <c r="M30" s="54">
        <f>IF(Horaires3567314[[#This Row],[Fin]]&lt;Horaires3567314[[#This Row],[début]],1,0)+Horaires3567314[[#This Row],[Fin]]</f>
        <v>0</v>
      </c>
      <c r="N30" s="35">
        <f>IF(Horaires3567314[[#This Row],[Fin]]&lt;Horaires3567314[[#This Row],[début]],MAX(0,MIN(Horaires3567314[[#This Row],[Fin corrigée si nuit]],fin_nuit)-MAX(Horaires3567314[[#This Row],[début]],deb_nuit))*24,(MAX(deb_nuit,Horaires3567314[[#This Row],[Fin]])-MAX(deb_nuit,Horaires3567314[[#This Row],[début]])+MAX(MIN(fin_nuit-1,Horaires3567314[[#This Row],[Fin]])-MIN(fin_nuit-1,Horaires3567314[[#This Row],[début]]),0))*24)</f>
        <v>0</v>
      </c>
      <c r="O30" s="55">
        <f>(MAX(0,MIN(Horaires3567314[[#This Row],[Fin corrigée si nuit]],fin_nuit)-MAX(Horaires3567314[[#This Row],[début]],deb_nuit))-IF(Horaires3567314[[#This Row],[PNP Début]]=0,0,MIN(Horaires3567314[[#This Row],[PNP Fin corrigée]],fin_nuit)-MAX(Horaires3567314[[#This Row],[PNP Début corrigé]],deb_nuit)))*24</f>
        <v>0</v>
      </c>
      <c r="P30" s="55">
        <f>(IF(WEEKDAY(Horaires3567314[[#This Row],[Date]],2)=7,MAX(0,MIN(fin_dimJF,Horaires3567314[[#This Row],[Fin corrigée si nuit]])-MAX(deb_dimJF,Horaires3567314[[#This Row],[début]])),0)+IF(WEEKDAY(Horaires3567314[[#This Row],[Date]],2)=6,MAX(0,Horaires3567314[[#This Row],[Fin corrigée si nuit]]-(1+deb_dimJF)),0))*24</f>
        <v>0</v>
      </c>
      <c r="Q30" s="55">
        <f>(IF(WEEKDAY(Horaires3567314[[#This Row],[Date]],2)=7,MAX(0,MIN(fin_dimJF,Horaires3567314[[#This Row],[Fin corrigée si nuit]])-MAX(deb_dimJF,Horaires3567314[[#This Row],[début]])),0)+IF(WEEKDAY(Horaires3567314[[#This Row],[Date]],2)=6,MAX(0,Horaires3567314[[#This Row],[Fin corrigée si nuit]]-(1+deb_dimJF)),0))*24-
(IF(WEEKDAY(Horaires3567314[[#This Row],[Date]],2)=7,MAX(0,MIN(fin_dimJF,Horaires3567314[[#This Row],[PNP Fin corrigée]])-MAX(deb_dimJF,Horaires3567314[[#This Row],[PNP Début corrigé]])),0)+IF(WEEKDAY(Horaires3567314[[#This Row],[Date]],2)=6,MAX(0,Horaires3567314[[#This Row],[PNP Fin corrigée]]-(1+deb_dimJF)),0))*24</f>
        <v>0</v>
      </c>
      <c r="R30" s="55">
        <f>(IF(COUNTIF(JF,Horaires3567314[[#This Row],[Date]]),MAX(0,MIN(fin_dimJF,Horaires3567314[[#This Row],[Fin corrigée si nuit]])-MAX(deb_dimJF,Horaires3567314[[#This Row],[début]])),0)+IF(COUNTIF(JF,Horaires3567314[[#This Row],[Date]]+1),MAX(0,Horaires3567314[[#This Row],[Fin corrigée si nuit]]-(1+deb_dimJF)),0))*24</f>
        <v>0</v>
      </c>
      <c r="S30" s="55">
        <f>(IF(COUNTIF(JF,Horaires3567314[[#This Row],[Date]]),MAX(0,MIN(fin_dimJF,Horaires3567314[[#This Row],[Fin corrigée si nuit]])-MAX(deb_dimJF,Horaires3567314[[#This Row],[début]])),0)+IF(COUNTIF(JF,Horaires3567314[[#This Row],[Date]]+1),MAX(0,Horaires3567314[[#This Row],[Fin corrigée si nuit]]-(1+deb_dimJF)),0))*24-
(IF(COUNTIF(JF,Horaires3567314[[#This Row],[Date]]),MAX(0,MIN(fin_dimJF,Horaires3567314[[#This Row],[PNP Fin corrigée]])-MAX(deb_dimJF,Horaires3567314[[#This Row],[PNP Début corrigé]])),0)+IF(COUNTIF(JF,Horaires3567314[[#This Row],[Date]]+1),MAX(0,Horaires3567314[[#This Row],[PNP Fin corrigée]]-(1+deb_dimJF)),0))*24</f>
        <v>0</v>
      </c>
    </row>
    <row r="31" spans="1:19" x14ac:dyDescent="0.35">
      <c r="A31" s="5"/>
      <c r="B31" s="1"/>
      <c r="C31" s="2"/>
      <c r="D31" s="2"/>
      <c r="E31" s="3"/>
      <c r="F31" s="3"/>
      <c r="G31" s="3"/>
      <c r="H31" s="3"/>
      <c r="I31" s="51">
        <f>0.1*(Horaires3567314[[#This Row],[Heures de nuit]]+Horaires3567314[[#This Row],[heures jour dimanche]]+Horaires3567314[[#This Row],[heures jour fériés]])</f>
        <v>0</v>
      </c>
      <c r="J31" s="52">
        <f>(MOD(Horaires3567314[[#This Row],[Fin]]-Horaires3567314[[#This Row],[début]],1)-MOD(Horaires3567314[[#This Row],[PNP Fin]]-Horaires3567314[[#This Row],[PNP Début]],1))*24</f>
        <v>0</v>
      </c>
      <c r="K31" s="53">
        <f>IF(Horaires3567314[[#This Row],[PNP Début]]=0,0,IF(Horaires3567314[[#This Row],[PNP Début]]&lt;Horaires3567314[[#This Row],[début]],1,0)+Horaires3567314[[#This Row],[PNP Début]])</f>
        <v>0</v>
      </c>
      <c r="L31" s="54">
        <f>IF(Horaires3567314[[#This Row],[PNP Fin]]=0,0,IF(Horaires3567314[[#This Row],[PNP Fin]]&lt;Horaires3567314[[#This Row],[début]],1,0)+Horaires3567314[[#This Row],[PNP Fin]])</f>
        <v>0</v>
      </c>
      <c r="M31" s="54">
        <f>IF(Horaires3567314[[#This Row],[Fin]]&lt;Horaires3567314[[#This Row],[début]],1,0)+Horaires3567314[[#This Row],[Fin]]</f>
        <v>0</v>
      </c>
      <c r="N31" s="35">
        <f>IF(Horaires3567314[[#This Row],[Fin]]&lt;Horaires3567314[[#This Row],[début]],MAX(0,MIN(Horaires3567314[[#This Row],[Fin corrigée si nuit]],fin_nuit)-MAX(Horaires3567314[[#This Row],[début]],deb_nuit))*24,(MAX(deb_nuit,Horaires3567314[[#This Row],[Fin]])-MAX(deb_nuit,Horaires3567314[[#This Row],[début]])+MAX(MIN(fin_nuit-1,Horaires3567314[[#This Row],[Fin]])-MIN(fin_nuit-1,Horaires3567314[[#This Row],[début]]),0))*24)</f>
        <v>0</v>
      </c>
      <c r="O31" s="55">
        <f>(MAX(0,MIN(Horaires3567314[[#This Row],[Fin corrigée si nuit]],fin_nuit)-MAX(Horaires3567314[[#This Row],[début]],deb_nuit))-IF(Horaires3567314[[#This Row],[PNP Début]]=0,0,MIN(Horaires3567314[[#This Row],[PNP Fin corrigée]],fin_nuit)-MAX(Horaires3567314[[#This Row],[PNP Début corrigé]],deb_nuit)))*24</f>
        <v>0</v>
      </c>
      <c r="P31" s="55">
        <f>(IF(WEEKDAY(Horaires3567314[[#This Row],[Date]],2)=7,MAX(0,MIN(fin_dimJF,Horaires3567314[[#This Row],[Fin corrigée si nuit]])-MAX(deb_dimJF,Horaires3567314[[#This Row],[début]])),0)+IF(WEEKDAY(Horaires3567314[[#This Row],[Date]],2)=6,MAX(0,Horaires3567314[[#This Row],[Fin corrigée si nuit]]-(1+deb_dimJF)),0))*24</f>
        <v>0</v>
      </c>
      <c r="Q31" s="55">
        <f>(IF(WEEKDAY(Horaires3567314[[#This Row],[Date]],2)=7,MAX(0,MIN(fin_dimJF,Horaires3567314[[#This Row],[Fin corrigée si nuit]])-MAX(deb_dimJF,Horaires3567314[[#This Row],[début]])),0)+IF(WEEKDAY(Horaires3567314[[#This Row],[Date]],2)=6,MAX(0,Horaires3567314[[#This Row],[Fin corrigée si nuit]]-(1+deb_dimJF)),0))*24-
(IF(WEEKDAY(Horaires3567314[[#This Row],[Date]],2)=7,MAX(0,MIN(fin_dimJF,Horaires3567314[[#This Row],[PNP Fin corrigée]])-MAX(deb_dimJF,Horaires3567314[[#This Row],[PNP Début corrigé]])),0)+IF(WEEKDAY(Horaires3567314[[#This Row],[Date]],2)=6,MAX(0,Horaires3567314[[#This Row],[PNP Fin corrigée]]-(1+deb_dimJF)),0))*24</f>
        <v>0</v>
      </c>
      <c r="R31" s="55">
        <f>(IF(COUNTIF(JF,Horaires3567314[[#This Row],[Date]]),MAX(0,MIN(fin_dimJF,Horaires3567314[[#This Row],[Fin corrigée si nuit]])-MAX(deb_dimJF,Horaires3567314[[#This Row],[début]])),0)+IF(COUNTIF(JF,Horaires3567314[[#This Row],[Date]]+1),MAX(0,Horaires3567314[[#This Row],[Fin corrigée si nuit]]-(1+deb_dimJF)),0))*24</f>
        <v>0</v>
      </c>
      <c r="S31" s="55">
        <f>(IF(COUNTIF(JF,Horaires3567314[[#This Row],[Date]]),MAX(0,MIN(fin_dimJF,Horaires3567314[[#This Row],[Fin corrigée si nuit]])-MAX(deb_dimJF,Horaires3567314[[#This Row],[début]])),0)+IF(COUNTIF(JF,Horaires3567314[[#This Row],[Date]]+1),MAX(0,Horaires3567314[[#This Row],[Fin corrigée si nuit]]-(1+deb_dimJF)),0))*24-
(IF(COUNTIF(JF,Horaires3567314[[#This Row],[Date]]),MAX(0,MIN(fin_dimJF,Horaires3567314[[#This Row],[PNP Fin corrigée]])-MAX(deb_dimJF,Horaires3567314[[#This Row],[PNP Début corrigé]])),0)+IF(COUNTIF(JF,Horaires3567314[[#This Row],[Date]]+1),MAX(0,Horaires3567314[[#This Row],[PNP Fin corrigée]]-(1+deb_dimJF)),0))*24</f>
        <v>0</v>
      </c>
    </row>
    <row r="32" spans="1:19" ht="14.5" customHeight="1" x14ac:dyDescent="0.35">
      <c r="A32" s="5"/>
      <c r="B32" s="1"/>
      <c r="C32" s="2"/>
      <c r="D32" s="2"/>
      <c r="E32" s="3"/>
      <c r="F32" s="3"/>
      <c r="G32" s="3"/>
      <c r="H32" s="3"/>
      <c r="I32" s="51">
        <f>0.1*(Horaires3567314[[#This Row],[Heures de nuit]]+Horaires3567314[[#This Row],[heures jour dimanche]]+Horaires3567314[[#This Row],[heures jour fériés]])</f>
        <v>0</v>
      </c>
      <c r="J32" s="52">
        <f>(MOD(Horaires3567314[[#This Row],[Fin]]-Horaires3567314[[#This Row],[début]],1)-MOD(Horaires3567314[[#This Row],[PNP Fin]]-Horaires3567314[[#This Row],[PNP Début]],1))*24</f>
        <v>0</v>
      </c>
      <c r="K32" s="53">
        <f>IF(Horaires3567314[[#This Row],[PNP Début]]=0,0,IF(Horaires3567314[[#This Row],[PNP Début]]&lt;Horaires3567314[[#This Row],[début]],1,0)+Horaires3567314[[#This Row],[PNP Début]])</f>
        <v>0</v>
      </c>
      <c r="L32" s="54">
        <f>IF(Horaires3567314[[#This Row],[PNP Fin]]=0,0,IF(Horaires3567314[[#This Row],[PNP Fin]]&lt;Horaires3567314[[#This Row],[début]],1,0)+Horaires3567314[[#This Row],[PNP Fin]])</f>
        <v>0</v>
      </c>
      <c r="M32" s="54">
        <f>IF(Horaires3567314[[#This Row],[Fin]]&lt;Horaires3567314[[#This Row],[début]],1,0)+Horaires3567314[[#This Row],[Fin]]</f>
        <v>0</v>
      </c>
      <c r="N32" s="35">
        <f>IF(Horaires3567314[[#This Row],[Fin]]&lt;Horaires3567314[[#This Row],[début]],MAX(0,MIN(Horaires3567314[[#This Row],[Fin corrigée si nuit]],fin_nuit)-MAX(Horaires3567314[[#This Row],[début]],deb_nuit))*24,(MAX(deb_nuit,Horaires3567314[[#This Row],[Fin]])-MAX(deb_nuit,Horaires3567314[[#This Row],[début]])+MAX(MIN(fin_nuit-1,Horaires3567314[[#This Row],[Fin]])-MIN(fin_nuit-1,Horaires3567314[[#This Row],[début]]),0))*24)</f>
        <v>0</v>
      </c>
      <c r="O32" s="55">
        <f>(MAX(0,MIN(Horaires3567314[[#This Row],[Fin corrigée si nuit]],fin_nuit)-MAX(Horaires3567314[[#This Row],[début]],deb_nuit))-IF(Horaires3567314[[#This Row],[PNP Début]]=0,0,MIN(Horaires3567314[[#This Row],[PNP Fin corrigée]],fin_nuit)-MAX(Horaires3567314[[#This Row],[PNP Début corrigé]],deb_nuit)))*24</f>
        <v>0</v>
      </c>
      <c r="P32" s="55">
        <f>(IF(WEEKDAY(Horaires3567314[[#This Row],[Date]],2)=7,MAX(0,MIN(fin_dimJF,Horaires3567314[[#This Row],[Fin corrigée si nuit]])-MAX(deb_dimJF,Horaires3567314[[#This Row],[début]])),0)+IF(WEEKDAY(Horaires3567314[[#This Row],[Date]],2)=6,MAX(0,Horaires3567314[[#This Row],[Fin corrigée si nuit]]-(1+deb_dimJF)),0))*24</f>
        <v>0</v>
      </c>
      <c r="Q32" s="55">
        <f>(IF(WEEKDAY(Horaires3567314[[#This Row],[Date]],2)=7,MAX(0,MIN(fin_dimJF,Horaires3567314[[#This Row],[Fin corrigée si nuit]])-MAX(deb_dimJF,Horaires3567314[[#This Row],[début]])),0)+IF(WEEKDAY(Horaires3567314[[#This Row],[Date]],2)=6,MAX(0,Horaires3567314[[#This Row],[Fin corrigée si nuit]]-(1+deb_dimJF)),0))*24-
(IF(WEEKDAY(Horaires3567314[[#This Row],[Date]],2)=7,MAX(0,MIN(fin_dimJF,Horaires3567314[[#This Row],[PNP Fin corrigée]])-MAX(deb_dimJF,Horaires3567314[[#This Row],[PNP Début corrigé]])),0)+IF(WEEKDAY(Horaires3567314[[#This Row],[Date]],2)=6,MAX(0,Horaires3567314[[#This Row],[PNP Fin corrigée]]-(1+deb_dimJF)),0))*24</f>
        <v>0</v>
      </c>
      <c r="R32" s="55">
        <f>(IF(COUNTIF(JF,Horaires3567314[[#This Row],[Date]]),MAX(0,MIN(fin_dimJF,Horaires3567314[[#This Row],[Fin corrigée si nuit]])-MAX(deb_dimJF,Horaires3567314[[#This Row],[début]])),0)+IF(COUNTIF(JF,Horaires3567314[[#This Row],[Date]]+1),MAX(0,Horaires3567314[[#This Row],[Fin corrigée si nuit]]-(1+deb_dimJF)),0))*24</f>
        <v>0</v>
      </c>
      <c r="S32" s="55">
        <f>(IF(COUNTIF(JF,Horaires3567314[[#This Row],[Date]]),MAX(0,MIN(fin_dimJF,Horaires3567314[[#This Row],[Fin corrigée si nuit]])-MAX(deb_dimJF,Horaires3567314[[#This Row],[début]])),0)+IF(COUNTIF(JF,Horaires3567314[[#This Row],[Date]]+1),MAX(0,Horaires3567314[[#This Row],[Fin corrigée si nuit]]-(1+deb_dimJF)),0))*24-
(IF(COUNTIF(JF,Horaires3567314[[#This Row],[Date]]),MAX(0,MIN(fin_dimJF,Horaires3567314[[#This Row],[PNP Fin corrigée]])-MAX(deb_dimJF,Horaires3567314[[#This Row],[PNP Début corrigé]])),0)+IF(COUNTIF(JF,Horaires3567314[[#This Row],[Date]]+1),MAX(0,Horaires3567314[[#This Row],[PNP Fin corrigée]]-(1+deb_dimJF)),0))*24</f>
        <v>0</v>
      </c>
    </row>
    <row r="33" spans="1:19" x14ac:dyDescent="0.35">
      <c r="A33" s="5"/>
      <c r="B33" s="1"/>
      <c r="C33" s="2"/>
      <c r="D33" s="2"/>
      <c r="E33" s="3"/>
      <c r="F33" s="3"/>
      <c r="G33" s="3"/>
      <c r="H33" s="3"/>
      <c r="I33" s="51">
        <f>0.1*(Horaires3567314[[#This Row],[Heures de nuit]]+Horaires3567314[[#This Row],[heures jour dimanche]]+Horaires3567314[[#This Row],[heures jour fériés]])</f>
        <v>0</v>
      </c>
      <c r="J33" s="52">
        <f>(MOD(Horaires3567314[[#This Row],[Fin]]-Horaires3567314[[#This Row],[début]],1)-MOD(Horaires3567314[[#This Row],[PNP Fin]]-Horaires3567314[[#This Row],[PNP Début]],1))*24</f>
        <v>0</v>
      </c>
      <c r="K33" s="53">
        <f>IF(Horaires3567314[[#This Row],[PNP Début]]=0,0,IF(Horaires3567314[[#This Row],[PNP Début]]&lt;Horaires3567314[[#This Row],[début]],1,0)+Horaires3567314[[#This Row],[PNP Début]])</f>
        <v>0</v>
      </c>
      <c r="L33" s="54">
        <f>IF(Horaires3567314[[#This Row],[PNP Fin]]=0,0,IF(Horaires3567314[[#This Row],[PNP Fin]]&lt;Horaires3567314[[#This Row],[début]],1,0)+Horaires3567314[[#This Row],[PNP Fin]])</f>
        <v>0</v>
      </c>
      <c r="M33" s="54">
        <f>IF(Horaires3567314[[#This Row],[Fin]]&lt;Horaires3567314[[#This Row],[début]],1,0)+Horaires3567314[[#This Row],[Fin]]</f>
        <v>0</v>
      </c>
      <c r="N33" s="35">
        <f>IF(Horaires3567314[[#This Row],[Fin]]&lt;Horaires3567314[[#This Row],[début]],MAX(0,MIN(Horaires3567314[[#This Row],[Fin corrigée si nuit]],fin_nuit)-MAX(Horaires3567314[[#This Row],[début]],deb_nuit))*24,(MAX(deb_nuit,Horaires3567314[[#This Row],[Fin]])-MAX(deb_nuit,Horaires3567314[[#This Row],[début]])+MAX(MIN(fin_nuit-1,Horaires3567314[[#This Row],[Fin]])-MIN(fin_nuit-1,Horaires3567314[[#This Row],[début]]),0))*24)</f>
        <v>0</v>
      </c>
      <c r="O33" s="55">
        <f>(MAX(0,MIN(Horaires3567314[[#This Row],[Fin corrigée si nuit]],fin_nuit)-MAX(Horaires3567314[[#This Row],[début]],deb_nuit))-IF(Horaires3567314[[#This Row],[PNP Début]]=0,0,MIN(Horaires3567314[[#This Row],[PNP Fin corrigée]],fin_nuit)-MAX(Horaires3567314[[#This Row],[PNP Début corrigé]],deb_nuit)))*24</f>
        <v>0</v>
      </c>
      <c r="P33" s="55">
        <f>(IF(WEEKDAY(Horaires3567314[[#This Row],[Date]],2)=7,MAX(0,MIN(fin_dimJF,Horaires3567314[[#This Row],[Fin corrigée si nuit]])-MAX(deb_dimJF,Horaires3567314[[#This Row],[début]])),0)+IF(WEEKDAY(Horaires3567314[[#This Row],[Date]],2)=6,MAX(0,Horaires3567314[[#This Row],[Fin corrigée si nuit]]-(1+deb_dimJF)),0))*24</f>
        <v>0</v>
      </c>
      <c r="Q33" s="55">
        <f>(IF(WEEKDAY(Horaires3567314[[#This Row],[Date]],2)=7,MAX(0,MIN(fin_dimJF,Horaires3567314[[#This Row],[Fin corrigée si nuit]])-MAX(deb_dimJF,Horaires3567314[[#This Row],[début]])),0)+IF(WEEKDAY(Horaires3567314[[#This Row],[Date]],2)=6,MAX(0,Horaires3567314[[#This Row],[Fin corrigée si nuit]]-(1+deb_dimJF)),0))*24-
(IF(WEEKDAY(Horaires3567314[[#This Row],[Date]],2)=7,MAX(0,MIN(fin_dimJF,Horaires3567314[[#This Row],[PNP Fin corrigée]])-MAX(deb_dimJF,Horaires3567314[[#This Row],[PNP Début corrigé]])),0)+IF(WEEKDAY(Horaires3567314[[#This Row],[Date]],2)=6,MAX(0,Horaires3567314[[#This Row],[PNP Fin corrigée]]-(1+deb_dimJF)),0))*24</f>
        <v>0</v>
      </c>
      <c r="R33" s="55">
        <f>(IF(COUNTIF(JF,Horaires3567314[[#This Row],[Date]]),MAX(0,MIN(fin_dimJF,Horaires3567314[[#This Row],[Fin corrigée si nuit]])-MAX(deb_dimJF,Horaires3567314[[#This Row],[début]])),0)+IF(COUNTIF(JF,Horaires3567314[[#This Row],[Date]]+1),MAX(0,Horaires3567314[[#This Row],[Fin corrigée si nuit]]-(1+deb_dimJF)),0))*24</f>
        <v>0</v>
      </c>
      <c r="S33" s="55">
        <f>(IF(COUNTIF(JF,Horaires3567314[[#This Row],[Date]]),MAX(0,MIN(fin_dimJF,Horaires3567314[[#This Row],[Fin corrigée si nuit]])-MAX(deb_dimJF,Horaires3567314[[#This Row],[début]])),0)+IF(COUNTIF(JF,Horaires3567314[[#This Row],[Date]]+1),MAX(0,Horaires3567314[[#This Row],[Fin corrigée si nuit]]-(1+deb_dimJF)),0))*24-
(IF(COUNTIF(JF,Horaires3567314[[#This Row],[Date]]),MAX(0,MIN(fin_dimJF,Horaires3567314[[#This Row],[PNP Fin corrigée]])-MAX(deb_dimJF,Horaires3567314[[#This Row],[PNP Début corrigé]])),0)+IF(COUNTIF(JF,Horaires3567314[[#This Row],[Date]]+1),MAX(0,Horaires3567314[[#This Row],[PNP Fin corrigée]]-(1+deb_dimJF)),0))*24</f>
        <v>0</v>
      </c>
    </row>
    <row r="34" spans="1:19" x14ac:dyDescent="0.35">
      <c r="A34" s="5"/>
      <c r="B34" s="1"/>
      <c r="C34" s="2"/>
      <c r="D34" s="2"/>
      <c r="E34" s="3"/>
      <c r="F34" s="3"/>
      <c r="G34" s="3"/>
      <c r="H34" s="3"/>
      <c r="I34" s="51">
        <f>0.1*(Horaires3567314[[#This Row],[Heures de nuit]]+Horaires3567314[[#This Row],[heures jour dimanche]]+Horaires3567314[[#This Row],[heures jour fériés]])</f>
        <v>0</v>
      </c>
      <c r="J34" s="52">
        <f>(MOD(Horaires3567314[[#This Row],[Fin]]-Horaires3567314[[#This Row],[début]],1)-MOD(Horaires3567314[[#This Row],[PNP Fin]]-Horaires3567314[[#This Row],[PNP Début]],1))*24</f>
        <v>0</v>
      </c>
      <c r="K34" s="53">
        <f>IF(Horaires3567314[[#This Row],[PNP Début]]=0,0,IF(Horaires3567314[[#This Row],[PNP Début]]&lt;Horaires3567314[[#This Row],[début]],1,0)+Horaires3567314[[#This Row],[PNP Début]])</f>
        <v>0</v>
      </c>
      <c r="L34" s="54">
        <f>IF(Horaires3567314[[#This Row],[PNP Fin]]=0,0,IF(Horaires3567314[[#This Row],[PNP Fin]]&lt;Horaires3567314[[#This Row],[début]],1,0)+Horaires3567314[[#This Row],[PNP Fin]])</f>
        <v>0</v>
      </c>
      <c r="M34" s="54">
        <f>IF(Horaires3567314[[#This Row],[Fin]]&lt;Horaires3567314[[#This Row],[début]],1,0)+Horaires3567314[[#This Row],[Fin]]</f>
        <v>0</v>
      </c>
      <c r="N34" s="35">
        <f>IF(Horaires3567314[[#This Row],[Fin]]&lt;Horaires3567314[[#This Row],[début]],MAX(0,MIN(Horaires3567314[[#This Row],[Fin corrigée si nuit]],fin_nuit)-MAX(Horaires3567314[[#This Row],[début]],deb_nuit))*24,(MAX(deb_nuit,Horaires3567314[[#This Row],[Fin]])-MAX(deb_nuit,Horaires3567314[[#This Row],[début]])+MAX(MIN(fin_nuit-1,Horaires3567314[[#This Row],[Fin]])-MIN(fin_nuit-1,Horaires3567314[[#This Row],[début]]),0))*24)</f>
        <v>0</v>
      </c>
      <c r="O34" s="55">
        <f>(MAX(0,MIN(Horaires3567314[[#This Row],[Fin corrigée si nuit]],fin_nuit)-MAX(Horaires3567314[[#This Row],[début]],deb_nuit))-IF(Horaires3567314[[#This Row],[PNP Début]]=0,0,MIN(Horaires3567314[[#This Row],[PNP Fin corrigée]],fin_nuit)-MAX(Horaires3567314[[#This Row],[PNP Début corrigé]],deb_nuit)))*24</f>
        <v>0</v>
      </c>
      <c r="P34" s="55">
        <f>(IF(WEEKDAY(Horaires3567314[[#This Row],[Date]],2)=7,MAX(0,MIN(fin_dimJF,Horaires3567314[[#This Row],[Fin corrigée si nuit]])-MAX(deb_dimJF,Horaires3567314[[#This Row],[début]])),0)+IF(WEEKDAY(Horaires3567314[[#This Row],[Date]],2)=6,MAX(0,Horaires3567314[[#This Row],[Fin corrigée si nuit]]-(1+deb_dimJF)),0))*24</f>
        <v>0</v>
      </c>
      <c r="Q34" s="55">
        <f>(IF(WEEKDAY(Horaires3567314[[#This Row],[Date]],2)=7,MAX(0,MIN(fin_dimJF,Horaires3567314[[#This Row],[Fin corrigée si nuit]])-MAX(deb_dimJF,Horaires3567314[[#This Row],[début]])),0)+IF(WEEKDAY(Horaires3567314[[#This Row],[Date]],2)=6,MAX(0,Horaires3567314[[#This Row],[Fin corrigée si nuit]]-(1+deb_dimJF)),0))*24-
(IF(WEEKDAY(Horaires3567314[[#This Row],[Date]],2)=7,MAX(0,MIN(fin_dimJF,Horaires3567314[[#This Row],[PNP Fin corrigée]])-MAX(deb_dimJF,Horaires3567314[[#This Row],[PNP Début corrigé]])),0)+IF(WEEKDAY(Horaires3567314[[#This Row],[Date]],2)=6,MAX(0,Horaires3567314[[#This Row],[PNP Fin corrigée]]-(1+deb_dimJF)),0))*24</f>
        <v>0</v>
      </c>
      <c r="R34" s="55">
        <f>(IF(COUNTIF(JF,Horaires3567314[[#This Row],[Date]]),MAX(0,MIN(fin_dimJF,Horaires3567314[[#This Row],[Fin corrigée si nuit]])-MAX(deb_dimJF,Horaires3567314[[#This Row],[début]])),0)+IF(COUNTIF(JF,Horaires3567314[[#This Row],[Date]]+1),MAX(0,Horaires3567314[[#This Row],[Fin corrigée si nuit]]-(1+deb_dimJF)),0))*24</f>
        <v>0</v>
      </c>
      <c r="S34" s="55">
        <f>(IF(COUNTIF(JF,Horaires3567314[[#This Row],[Date]]),MAX(0,MIN(fin_dimJF,Horaires3567314[[#This Row],[Fin corrigée si nuit]])-MAX(deb_dimJF,Horaires3567314[[#This Row],[début]])),0)+IF(COUNTIF(JF,Horaires3567314[[#This Row],[Date]]+1),MAX(0,Horaires3567314[[#This Row],[Fin corrigée si nuit]]-(1+deb_dimJF)),0))*24-
(IF(COUNTIF(JF,Horaires3567314[[#This Row],[Date]]),MAX(0,MIN(fin_dimJF,Horaires3567314[[#This Row],[PNP Fin corrigée]])-MAX(deb_dimJF,Horaires3567314[[#This Row],[PNP Début corrigé]])),0)+IF(COUNTIF(JF,Horaires3567314[[#This Row],[Date]]+1),MAX(0,Horaires3567314[[#This Row],[PNP Fin corrigée]]-(1+deb_dimJF)),0))*24</f>
        <v>0</v>
      </c>
    </row>
    <row r="35" spans="1:19" x14ac:dyDescent="0.35">
      <c r="A35" s="5"/>
      <c r="B35" s="1"/>
      <c r="C35" s="2"/>
      <c r="D35" s="2"/>
      <c r="E35" s="3"/>
      <c r="F35" s="3"/>
      <c r="G35" s="3"/>
      <c r="H35" s="3"/>
      <c r="I35" s="51">
        <f>0.1*(Horaires3567314[[#This Row],[Heures de nuit]]+Horaires3567314[[#This Row],[heures jour dimanche]]+Horaires3567314[[#This Row],[heures jour fériés]])</f>
        <v>0</v>
      </c>
      <c r="J35" s="52">
        <f>(MOD(Horaires3567314[[#This Row],[Fin]]-Horaires3567314[[#This Row],[début]],1)-MOD(Horaires3567314[[#This Row],[PNP Fin]]-Horaires3567314[[#This Row],[PNP Début]],1))*24</f>
        <v>0</v>
      </c>
      <c r="K35" s="53">
        <f>IF(Horaires3567314[[#This Row],[PNP Début]]=0,0,IF(Horaires3567314[[#This Row],[PNP Début]]&lt;Horaires3567314[[#This Row],[début]],1,0)+Horaires3567314[[#This Row],[PNP Début]])</f>
        <v>0</v>
      </c>
      <c r="L35" s="54">
        <f>IF(Horaires3567314[[#This Row],[PNP Fin]]=0,0,IF(Horaires3567314[[#This Row],[PNP Fin]]&lt;Horaires3567314[[#This Row],[début]],1,0)+Horaires3567314[[#This Row],[PNP Fin]])</f>
        <v>0</v>
      </c>
      <c r="M35" s="54">
        <f>IF(Horaires3567314[[#This Row],[Fin]]&lt;Horaires3567314[[#This Row],[début]],1,0)+Horaires3567314[[#This Row],[Fin]]</f>
        <v>0</v>
      </c>
      <c r="N35" s="35">
        <f>IF(Horaires3567314[[#This Row],[Fin]]&lt;Horaires3567314[[#This Row],[début]],MAX(0,MIN(Horaires3567314[[#This Row],[Fin corrigée si nuit]],fin_nuit)-MAX(Horaires3567314[[#This Row],[début]],deb_nuit))*24,(MAX(deb_nuit,Horaires3567314[[#This Row],[Fin]])-MAX(deb_nuit,Horaires3567314[[#This Row],[début]])+MAX(MIN(fin_nuit-1,Horaires3567314[[#This Row],[Fin]])-MIN(fin_nuit-1,Horaires3567314[[#This Row],[début]]),0))*24)</f>
        <v>0</v>
      </c>
      <c r="O35" s="55">
        <f>(MAX(0,MIN(Horaires3567314[[#This Row],[Fin corrigée si nuit]],fin_nuit)-MAX(Horaires3567314[[#This Row],[début]],deb_nuit))-IF(Horaires3567314[[#This Row],[PNP Début]]=0,0,MIN(Horaires3567314[[#This Row],[PNP Fin corrigée]],fin_nuit)-MAX(Horaires3567314[[#This Row],[PNP Début corrigé]],deb_nuit)))*24</f>
        <v>0</v>
      </c>
      <c r="P35" s="55">
        <f>(IF(WEEKDAY(Horaires3567314[[#This Row],[Date]],2)=7,MAX(0,MIN(fin_dimJF,Horaires3567314[[#This Row],[Fin corrigée si nuit]])-MAX(deb_dimJF,Horaires3567314[[#This Row],[début]])),0)+IF(WEEKDAY(Horaires3567314[[#This Row],[Date]],2)=6,MAX(0,Horaires3567314[[#This Row],[Fin corrigée si nuit]]-(1+deb_dimJF)),0))*24</f>
        <v>0</v>
      </c>
      <c r="Q35" s="55">
        <f>(IF(WEEKDAY(Horaires3567314[[#This Row],[Date]],2)=7,MAX(0,MIN(fin_dimJF,Horaires3567314[[#This Row],[Fin corrigée si nuit]])-MAX(deb_dimJF,Horaires3567314[[#This Row],[début]])),0)+IF(WEEKDAY(Horaires3567314[[#This Row],[Date]],2)=6,MAX(0,Horaires3567314[[#This Row],[Fin corrigée si nuit]]-(1+deb_dimJF)),0))*24-
(IF(WEEKDAY(Horaires3567314[[#This Row],[Date]],2)=7,MAX(0,MIN(fin_dimJF,Horaires3567314[[#This Row],[PNP Fin corrigée]])-MAX(deb_dimJF,Horaires3567314[[#This Row],[PNP Début corrigé]])),0)+IF(WEEKDAY(Horaires3567314[[#This Row],[Date]],2)=6,MAX(0,Horaires3567314[[#This Row],[PNP Fin corrigée]]-(1+deb_dimJF)),0))*24</f>
        <v>0</v>
      </c>
      <c r="R35" s="55">
        <f>(IF(COUNTIF(JF,Horaires3567314[[#This Row],[Date]]),MAX(0,MIN(fin_dimJF,Horaires3567314[[#This Row],[Fin corrigée si nuit]])-MAX(deb_dimJF,Horaires3567314[[#This Row],[début]])),0)+IF(COUNTIF(JF,Horaires3567314[[#This Row],[Date]]+1),MAX(0,Horaires3567314[[#This Row],[Fin corrigée si nuit]]-(1+deb_dimJF)),0))*24</f>
        <v>0</v>
      </c>
      <c r="S35" s="55">
        <f>(IF(COUNTIF(JF,Horaires3567314[[#This Row],[Date]]),MAX(0,MIN(fin_dimJF,Horaires3567314[[#This Row],[Fin corrigée si nuit]])-MAX(deb_dimJF,Horaires3567314[[#This Row],[début]])),0)+IF(COUNTIF(JF,Horaires3567314[[#This Row],[Date]]+1),MAX(0,Horaires3567314[[#This Row],[Fin corrigée si nuit]]-(1+deb_dimJF)),0))*24-
(IF(COUNTIF(JF,Horaires3567314[[#This Row],[Date]]),MAX(0,MIN(fin_dimJF,Horaires3567314[[#This Row],[PNP Fin corrigée]])-MAX(deb_dimJF,Horaires3567314[[#This Row],[PNP Début corrigé]])),0)+IF(COUNTIF(JF,Horaires3567314[[#This Row],[Date]]+1),MAX(0,Horaires3567314[[#This Row],[PNP Fin corrigée]]-(1+deb_dimJF)),0))*24</f>
        <v>0</v>
      </c>
    </row>
    <row r="36" spans="1:19" x14ac:dyDescent="0.35">
      <c r="A36" s="5"/>
      <c r="B36" s="1"/>
      <c r="C36" s="2"/>
      <c r="D36" s="2"/>
      <c r="E36" s="3"/>
      <c r="F36" s="3"/>
      <c r="G36" s="3"/>
      <c r="H36" s="3"/>
      <c r="I36" s="51">
        <f>0.1*(Horaires3567314[[#This Row],[Heures de nuit]]+Horaires3567314[[#This Row],[heures jour dimanche]]+Horaires3567314[[#This Row],[heures jour fériés]])</f>
        <v>0</v>
      </c>
      <c r="J36" s="52">
        <f>(MOD(Horaires3567314[[#This Row],[Fin]]-Horaires3567314[[#This Row],[début]],1)-MOD(Horaires3567314[[#This Row],[PNP Fin]]-Horaires3567314[[#This Row],[PNP Début]],1))*24</f>
        <v>0</v>
      </c>
      <c r="K36" s="53">
        <f>IF(Horaires3567314[[#This Row],[PNP Début]]=0,0,IF(Horaires3567314[[#This Row],[PNP Début]]&lt;Horaires3567314[[#This Row],[début]],1,0)+Horaires3567314[[#This Row],[PNP Début]])</f>
        <v>0</v>
      </c>
      <c r="L36" s="54">
        <f>IF(Horaires3567314[[#This Row],[PNP Fin]]=0,0,IF(Horaires3567314[[#This Row],[PNP Fin]]&lt;Horaires3567314[[#This Row],[début]],1,0)+Horaires3567314[[#This Row],[PNP Fin]])</f>
        <v>0</v>
      </c>
      <c r="M36" s="54">
        <f>IF(Horaires3567314[[#This Row],[Fin]]&lt;Horaires3567314[[#This Row],[début]],1,0)+Horaires3567314[[#This Row],[Fin]]</f>
        <v>0</v>
      </c>
      <c r="N36" s="35">
        <f>IF(Horaires3567314[[#This Row],[Fin]]&lt;Horaires3567314[[#This Row],[début]],MAX(0,MIN(Horaires3567314[[#This Row],[Fin corrigée si nuit]],fin_nuit)-MAX(Horaires3567314[[#This Row],[début]],deb_nuit))*24,(MAX(deb_nuit,Horaires3567314[[#This Row],[Fin]])-MAX(deb_nuit,Horaires3567314[[#This Row],[début]])+MAX(MIN(fin_nuit-1,Horaires3567314[[#This Row],[Fin]])-MIN(fin_nuit-1,Horaires3567314[[#This Row],[début]]),0))*24)</f>
        <v>0</v>
      </c>
      <c r="O36" s="55">
        <f>(MAX(0,MIN(Horaires3567314[[#This Row],[Fin corrigée si nuit]],fin_nuit)-MAX(Horaires3567314[[#This Row],[début]],deb_nuit))-IF(Horaires3567314[[#This Row],[PNP Début]]=0,0,MIN(Horaires3567314[[#This Row],[PNP Fin corrigée]],fin_nuit)-MAX(Horaires3567314[[#This Row],[PNP Début corrigé]],deb_nuit)))*24</f>
        <v>0</v>
      </c>
      <c r="P36" s="55">
        <f>(IF(WEEKDAY(Horaires3567314[[#This Row],[Date]],2)=7,MAX(0,MIN(fin_dimJF,Horaires3567314[[#This Row],[Fin corrigée si nuit]])-MAX(deb_dimJF,Horaires3567314[[#This Row],[début]])),0)+IF(WEEKDAY(Horaires3567314[[#This Row],[Date]],2)=6,MAX(0,Horaires3567314[[#This Row],[Fin corrigée si nuit]]-(1+deb_dimJF)),0))*24</f>
        <v>0</v>
      </c>
      <c r="Q36" s="55">
        <f>(IF(WEEKDAY(Horaires3567314[[#This Row],[Date]],2)=7,MAX(0,MIN(fin_dimJF,Horaires3567314[[#This Row],[Fin corrigée si nuit]])-MAX(deb_dimJF,Horaires3567314[[#This Row],[début]])),0)+IF(WEEKDAY(Horaires3567314[[#This Row],[Date]],2)=6,MAX(0,Horaires3567314[[#This Row],[Fin corrigée si nuit]]-(1+deb_dimJF)),0))*24-
(IF(WEEKDAY(Horaires3567314[[#This Row],[Date]],2)=7,MAX(0,MIN(fin_dimJF,Horaires3567314[[#This Row],[PNP Fin corrigée]])-MAX(deb_dimJF,Horaires3567314[[#This Row],[PNP Début corrigé]])),0)+IF(WEEKDAY(Horaires3567314[[#This Row],[Date]],2)=6,MAX(0,Horaires3567314[[#This Row],[PNP Fin corrigée]]-(1+deb_dimJF)),0))*24</f>
        <v>0</v>
      </c>
      <c r="R36" s="55">
        <f>(IF(COUNTIF(JF,Horaires3567314[[#This Row],[Date]]),MAX(0,MIN(fin_dimJF,Horaires3567314[[#This Row],[Fin corrigée si nuit]])-MAX(deb_dimJF,Horaires3567314[[#This Row],[début]])),0)+IF(COUNTIF(JF,Horaires3567314[[#This Row],[Date]]+1),MAX(0,Horaires3567314[[#This Row],[Fin corrigée si nuit]]-(1+deb_dimJF)),0))*24</f>
        <v>0</v>
      </c>
      <c r="S36" s="55">
        <f>(IF(COUNTIF(JF,Horaires3567314[[#This Row],[Date]]),MAX(0,MIN(fin_dimJF,Horaires3567314[[#This Row],[Fin corrigée si nuit]])-MAX(deb_dimJF,Horaires3567314[[#This Row],[début]])),0)+IF(COUNTIF(JF,Horaires3567314[[#This Row],[Date]]+1),MAX(0,Horaires3567314[[#This Row],[Fin corrigée si nuit]]-(1+deb_dimJF)),0))*24-
(IF(COUNTIF(JF,Horaires3567314[[#This Row],[Date]]),MAX(0,MIN(fin_dimJF,Horaires3567314[[#This Row],[PNP Fin corrigée]])-MAX(deb_dimJF,Horaires3567314[[#This Row],[PNP Début corrigé]])),0)+IF(COUNTIF(JF,Horaires3567314[[#This Row],[Date]]+1),MAX(0,Horaires3567314[[#This Row],[PNP Fin corrigée]]-(1+deb_dimJF)),0))*24</f>
        <v>0</v>
      </c>
    </row>
    <row r="37" spans="1:19" x14ac:dyDescent="0.35">
      <c r="A37" s="5"/>
      <c r="B37" s="1"/>
      <c r="C37" s="2"/>
      <c r="D37" s="2"/>
      <c r="E37" s="3"/>
      <c r="F37" s="3"/>
      <c r="G37" s="3"/>
      <c r="H37" s="3"/>
      <c r="I37" s="51">
        <f>0.1*(Horaires3567314[[#This Row],[Heures de nuit]]+Horaires3567314[[#This Row],[heures jour dimanche]]+Horaires3567314[[#This Row],[heures jour fériés]])</f>
        <v>0</v>
      </c>
      <c r="J37" s="52">
        <f>(MOD(Horaires3567314[[#This Row],[Fin]]-Horaires3567314[[#This Row],[début]],1)-MOD(Horaires3567314[[#This Row],[PNP Fin]]-Horaires3567314[[#This Row],[PNP Début]],1))*24</f>
        <v>0</v>
      </c>
      <c r="K37" s="53">
        <f>IF(Horaires3567314[[#This Row],[PNP Début]]=0,0,IF(Horaires3567314[[#This Row],[PNP Début]]&lt;Horaires3567314[[#This Row],[début]],1,0)+Horaires3567314[[#This Row],[PNP Début]])</f>
        <v>0</v>
      </c>
      <c r="L37" s="54">
        <f>IF(Horaires3567314[[#This Row],[PNP Fin]]=0,0,IF(Horaires3567314[[#This Row],[PNP Fin]]&lt;Horaires3567314[[#This Row],[début]],1,0)+Horaires3567314[[#This Row],[PNP Fin]])</f>
        <v>0</v>
      </c>
      <c r="M37" s="54">
        <f>IF(Horaires3567314[[#This Row],[Fin]]&lt;Horaires3567314[[#This Row],[début]],1,0)+Horaires3567314[[#This Row],[Fin]]</f>
        <v>0</v>
      </c>
      <c r="N37" s="35">
        <f>IF(Horaires3567314[[#This Row],[Fin]]&lt;Horaires3567314[[#This Row],[début]],MAX(0,MIN(Horaires3567314[[#This Row],[Fin corrigée si nuit]],fin_nuit)-MAX(Horaires3567314[[#This Row],[début]],deb_nuit))*24,(MAX(deb_nuit,Horaires3567314[[#This Row],[Fin]])-MAX(deb_nuit,Horaires3567314[[#This Row],[début]])+MAX(MIN(fin_nuit-1,Horaires3567314[[#This Row],[Fin]])-MIN(fin_nuit-1,Horaires3567314[[#This Row],[début]]),0))*24)</f>
        <v>0</v>
      </c>
      <c r="O37" s="55">
        <f>(MAX(0,MIN(Horaires3567314[[#This Row],[Fin corrigée si nuit]],fin_nuit)-MAX(Horaires3567314[[#This Row],[début]],deb_nuit))-IF(Horaires3567314[[#This Row],[PNP Début]]=0,0,MIN(Horaires3567314[[#This Row],[PNP Fin corrigée]],fin_nuit)-MAX(Horaires3567314[[#This Row],[PNP Début corrigé]],deb_nuit)))*24</f>
        <v>0</v>
      </c>
      <c r="P37" s="55">
        <f>(IF(WEEKDAY(Horaires3567314[[#This Row],[Date]],2)=7,MAX(0,MIN(fin_dimJF,Horaires3567314[[#This Row],[Fin corrigée si nuit]])-MAX(deb_dimJF,Horaires3567314[[#This Row],[début]])),0)+IF(WEEKDAY(Horaires3567314[[#This Row],[Date]],2)=6,MAX(0,Horaires3567314[[#This Row],[Fin corrigée si nuit]]-(1+deb_dimJF)),0))*24</f>
        <v>0</v>
      </c>
      <c r="Q37" s="55">
        <f>(IF(WEEKDAY(Horaires3567314[[#This Row],[Date]],2)=7,MAX(0,MIN(fin_dimJF,Horaires3567314[[#This Row],[Fin corrigée si nuit]])-MAX(deb_dimJF,Horaires3567314[[#This Row],[début]])),0)+IF(WEEKDAY(Horaires3567314[[#This Row],[Date]],2)=6,MAX(0,Horaires3567314[[#This Row],[Fin corrigée si nuit]]-(1+deb_dimJF)),0))*24-
(IF(WEEKDAY(Horaires3567314[[#This Row],[Date]],2)=7,MAX(0,MIN(fin_dimJF,Horaires3567314[[#This Row],[PNP Fin corrigée]])-MAX(deb_dimJF,Horaires3567314[[#This Row],[PNP Début corrigé]])),0)+IF(WEEKDAY(Horaires3567314[[#This Row],[Date]],2)=6,MAX(0,Horaires3567314[[#This Row],[PNP Fin corrigée]]-(1+deb_dimJF)),0))*24</f>
        <v>0</v>
      </c>
      <c r="R37" s="55">
        <f>(IF(COUNTIF(JF,Horaires3567314[[#This Row],[Date]]),MAX(0,MIN(fin_dimJF,Horaires3567314[[#This Row],[Fin corrigée si nuit]])-MAX(deb_dimJF,Horaires3567314[[#This Row],[début]])),0)+IF(COUNTIF(JF,Horaires3567314[[#This Row],[Date]]+1),MAX(0,Horaires3567314[[#This Row],[Fin corrigée si nuit]]-(1+deb_dimJF)),0))*24</f>
        <v>0</v>
      </c>
      <c r="S37" s="55">
        <f>(IF(COUNTIF(JF,Horaires3567314[[#This Row],[Date]]),MAX(0,MIN(fin_dimJF,Horaires3567314[[#This Row],[Fin corrigée si nuit]])-MAX(deb_dimJF,Horaires3567314[[#This Row],[début]])),0)+IF(COUNTIF(JF,Horaires3567314[[#This Row],[Date]]+1),MAX(0,Horaires3567314[[#This Row],[Fin corrigée si nuit]]-(1+deb_dimJF)),0))*24-
(IF(COUNTIF(JF,Horaires3567314[[#This Row],[Date]]),MAX(0,MIN(fin_dimJF,Horaires3567314[[#This Row],[PNP Fin corrigée]])-MAX(deb_dimJF,Horaires3567314[[#This Row],[PNP Début corrigé]])),0)+IF(COUNTIF(JF,Horaires3567314[[#This Row],[Date]]+1),MAX(0,Horaires3567314[[#This Row],[PNP Fin corrigée]]-(1+deb_dimJF)),0))*24</f>
        <v>0</v>
      </c>
    </row>
    <row r="38" spans="1:19" x14ac:dyDescent="0.35">
      <c r="A38" s="5"/>
      <c r="B38" s="1"/>
      <c r="C38" s="2"/>
      <c r="D38" s="2"/>
      <c r="E38" s="3"/>
      <c r="F38" s="3"/>
      <c r="G38" s="3"/>
      <c r="H38" s="3"/>
      <c r="I38" s="51">
        <f>0.1*(Horaires3567314[[#This Row],[Heures de nuit]]+Horaires3567314[[#This Row],[heures jour dimanche]]+Horaires3567314[[#This Row],[heures jour fériés]])</f>
        <v>0</v>
      </c>
      <c r="J38" s="52">
        <f>(MOD(Horaires3567314[[#This Row],[Fin]]-Horaires3567314[[#This Row],[début]],1)-MOD(Horaires3567314[[#This Row],[PNP Fin]]-Horaires3567314[[#This Row],[PNP Début]],1))*24</f>
        <v>0</v>
      </c>
      <c r="K38" s="53">
        <f>IF(Horaires3567314[[#This Row],[PNP Début]]=0,0,IF(Horaires3567314[[#This Row],[PNP Début]]&lt;Horaires3567314[[#This Row],[début]],1,0)+Horaires3567314[[#This Row],[PNP Début]])</f>
        <v>0</v>
      </c>
      <c r="L38" s="54">
        <f>IF(Horaires3567314[[#This Row],[PNP Fin]]=0,0,IF(Horaires3567314[[#This Row],[PNP Fin]]&lt;Horaires3567314[[#This Row],[début]],1,0)+Horaires3567314[[#This Row],[PNP Fin]])</f>
        <v>0</v>
      </c>
      <c r="M38" s="54">
        <f>IF(Horaires3567314[[#This Row],[Fin]]&lt;Horaires3567314[[#This Row],[début]],1,0)+Horaires3567314[[#This Row],[Fin]]</f>
        <v>0</v>
      </c>
      <c r="N38" s="35">
        <f>IF(Horaires3567314[[#This Row],[Fin]]&lt;Horaires3567314[[#This Row],[début]],MAX(0,MIN(Horaires3567314[[#This Row],[Fin corrigée si nuit]],fin_nuit)-MAX(Horaires3567314[[#This Row],[début]],deb_nuit))*24,(MAX(deb_nuit,Horaires3567314[[#This Row],[Fin]])-MAX(deb_nuit,Horaires3567314[[#This Row],[début]])+MAX(MIN(fin_nuit-1,Horaires3567314[[#This Row],[Fin]])-MIN(fin_nuit-1,Horaires3567314[[#This Row],[début]]),0))*24)</f>
        <v>0</v>
      </c>
      <c r="O38" s="55">
        <f>(MAX(0,MIN(Horaires3567314[[#This Row],[Fin corrigée si nuit]],fin_nuit)-MAX(Horaires3567314[[#This Row],[début]],deb_nuit))-IF(Horaires3567314[[#This Row],[PNP Début]]=0,0,MIN(Horaires3567314[[#This Row],[PNP Fin corrigée]],fin_nuit)-MAX(Horaires3567314[[#This Row],[PNP Début corrigé]],deb_nuit)))*24</f>
        <v>0</v>
      </c>
      <c r="P38" s="55">
        <f>(IF(WEEKDAY(Horaires3567314[[#This Row],[Date]],2)=7,MAX(0,MIN(fin_dimJF,Horaires3567314[[#This Row],[Fin corrigée si nuit]])-MAX(deb_dimJF,Horaires3567314[[#This Row],[début]])),0)+IF(WEEKDAY(Horaires3567314[[#This Row],[Date]],2)=6,MAX(0,Horaires3567314[[#This Row],[Fin corrigée si nuit]]-(1+deb_dimJF)),0))*24</f>
        <v>0</v>
      </c>
      <c r="Q38" s="55">
        <f>(IF(WEEKDAY(Horaires3567314[[#This Row],[Date]],2)=7,MAX(0,MIN(fin_dimJF,Horaires3567314[[#This Row],[Fin corrigée si nuit]])-MAX(deb_dimJF,Horaires3567314[[#This Row],[début]])),0)+IF(WEEKDAY(Horaires3567314[[#This Row],[Date]],2)=6,MAX(0,Horaires3567314[[#This Row],[Fin corrigée si nuit]]-(1+deb_dimJF)),0))*24-
(IF(WEEKDAY(Horaires3567314[[#This Row],[Date]],2)=7,MAX(0,MIN(fin_dimJF,Horaires3567314[[#This Row],[PNP Fin corrigée]])-MAX(deb_dimJF,Horaires3567314[[#This Row],[PNP Début corrigé]])),0)+IF(WEEKDAY(Horaires3567314[[#This Row],[Date]],2)=6,MAX(0,Horaires3567314[[#This Row],[PNP Fin corrigée]]-(1+deb_dimJF)),0))*24</f>
        <v>0</v>
      </c>
      <c r="R38" s="55">
        <f>(IF(COUNTIF(JF,Horaires3567314[[#This Row],[Date]]),MAX(0,MIN(fin_dimJF,Horaires3567314[[#This Row],[Fin corrigée si nuit]])-MAX(deb_dimJF,Horaires3567314[[#This Row],[début]])),0)+IF(COUNTIF(JF,Horaires3567314[[#This Row],[Date]]+1),MAX(0,Horaires3567314[[#This Row],[Fin corrigée si nuit]]-(1+deb_dimJF)),0))*24</f>
        <v>0</v>
      </c>
      <c r="S38" s="55">
        <f>(IF(COUNTIF(JF,Horaires3567314[[#This Row],[Date]]),MAX(0,MIN(fin_dimJF,Horaires3567314[[#This Row],[Fin corrigée si nuit]])-MAX(deb_dimJF,Horaires3567314[[#This Row],[début]])),0)+IF(COUNTIF(JF,Horaires3567314[[#This Row],[Date]]+1),MAX(0,Horaires3567314[[#This Row],[Fin corrigée si nuit]]-(1+deb_dimJF)),0))*24-
(IF(COUNTIF(JF,Horaires3567314[[#This Row],[Date]]),MAX(0,MIN(fin_dimJF,Horaires3567314[[#This Row],[PNP Fin corrigée]])-MAX(deb_dimJF,Horaires3567314[[#This Row],[PNP Début corrigé]])),0)+IF(COUNTIF(JF,Horaires3567314[[#This Row],[Date]]+1),MAX(0,Horaires3567314[[#This Row],[PNP Fin corrigée]]-(1+deb_dimJF)),0))*24</f>
        <v>0</v>
      </c>
    </row>
    <row r="39" spans="1:19" x14ac:dyDescent="0.35">
      <c r="A39" s="5"/>
      <c r="B39" s="1"/>
      <c r="C39" s="2"/>
      <c r="D39" s="2"/>
      <c r="E39" s="3"/>
      <c r="F39" s="3"/>
      <c r="G39" s="3"/>
      <c r="H39" s="3"/>
      <c r="I39" s="51">
        <f>0.1*(Horaires3567314[[#This Row],[Heures de nuit]]+Horaires3567314[[#This Row],[heures jour dimanche]]+Horaires3567314[[#This Row],[heures jour fériés]])</f>
        <v>0</v>
      </c>
      <c r="J39" s="52">
        <f>(MOD(Horaires3567314[[#This Row],[Fin]]-Horaires3567314[[#This Row],[début]],1)-MOD(Horaires3567314[[#This Row],[PNP Fin]]-Horaires3567314[[#This Row],[PNP Début]],1))*24</f>
        <v>0</v>
      </c>
      <c r="K39" s="53">
        <f>IF(Horaires3567314[[#This Row],[PNP Début]]=0,0,IF(Horaires3567314[[#This Row],[PNP Début]]&lt;Horaires3567314[[#This Row],[début]],1,0)+Horaires3567314[[#This Row],[PNP Début]])</f>
        <v>0</v>
      </c>
      <c r="L39" s="54">
        <f>IF(Horaires3567314[[#This Row],[PNP Fin]]=0,0,IF(Horaires3567314[[#This Row],[PNP Fin]]&lt;Horaires3567314[[#This Row],[début]],1,0)+Horaires3567314[[#This Row],[PNP Fin]])</f>
        <v>0</v>
      </c>
      <c r="M39" s="54">
        <f>IF(Horaires3567314[[#This Row],[Fin]]&lt;Horaires3567314[[#This Row],[début]],1,0)+Horaires3567314[[#This Row],[Fin]]</f>
        <v>0</v>
      </c>
      <c r="N39" s="35">
        <f>IF(Horaires3567314[[#This Row],[Fin]]&lt;Horaires3567314[[#This Row],[début]],MAX(0,MIN(Horaires3567314[[#This Row],[Fin corrigée si nuit]],fin_nuit)-MAX(Horaires3567314[[#This Row],[début]],deb_nuit))*24,(MAX(deb_nuit,Horaires3567314[[#This Row],[Fin]])-MAX(deb_nuit,Horaires3567314[[#This Row],[début]])+MAX(MIN(fin_nuit-1,Horaires3567314[[#This Row],[Fin]])-MIN(fin_nuit-1,Horaires3567314[[#This Row],[début]]),0))*24)</f>
        <v>0</v>
      </c>
      <c r="O39" s="55">
        <f>(MAX(0,MIN(Horaires3567314[[#This Row],[Fin corrigée si nuit]],fin_nuit)-MAX(Horaires3567314[[#This Row],[début]],deb_nuit))-IF(Horaires3567314[[#This Row],[PNP Début]]=0,0,MIN(Horaires3567314[[#This Row],[PNP Fin corrigée]],fin_nuit)-MAX(Horaires3567314[[#This Row],[PNP Début corrigé]],deb_nuit)))*24</f>
        <v>0</v>
      </c>
      <c r="P39" s="55">
        <f>(IF(WEEKDAY(Horaires3567314[[#This Row],[Date]],2)=7,MAX(0,MIN(fin_dimJF,Horaires3567314[[#This Row],[Fin corrigée si nuit]])-MAX(deb_dimJF,Horaires3567314[[#This Row],[début]])),0)+IF(WEEKDAY(Horaires3567314[[#This Row],[Date]],2)=6,MAX(0,Horaires3567314[[#This Row],[Fin corrigée si nuit]]-(1+deb_dimJF)),0))*24</f>
        <v>0</v>
      </c>
      <c r="Q39" s="55">
        <f>(IF(WEEKDAY(Horaires3567314[[#This Row],[Date]],2)=7,MAX(0,MIN(fin_dimJF,Horaires3567314[[#This Row],[Fin corrigée si nuit]])-MAX(deb_dimJF,Horaires3567314[[#This Row],[début]])),0)+IF(WEEKDAY(Horaires3567314[[#This Row],[Date]],2)=6,MAX(0,Horaires3567314[[#This Row],[Fin corrigée si nuit]]-(1+deb_dimJF)),0))*24-
(IF(WEEKDAY(Horaires3567314[[#This Row],[Date]],2)=7,MAX(0,MIN(fin_dimJF,Horaires3567314[[#This Row],[PNP Fin corrigée]])-MAX(deb_dimJF,Horaires3567314[[#This Row],[PNP Début corrigé]])),0)+IF(WEEKDAY(Horaires3567314[[#This Row],[Date]],2)=6,MAX(0,Horaires3567314[[#This Row],[PNP Fin corrigée]]-(1+deb_dimJF)),0))*24</f>
        <v>0</v>
      </c>
      <c r="R39" s="55">
        <f>(IF(COUNTIF(JF,Horaires3567314[[#This Row],[Date]]),MAX(0,MIN(fin_dimJF,Horaires3567314[[#This Row],[Fin corrigée si nuit]])-MAX(deb_dimJF,Horaires3567314[[#This Row],[début]])),0)+IF(COUNTIF(JF,Horaires3567314[[#This Row],[Date]]+1),MAX(0,Horaires3567314[[#This Row],[Fin corrigée si nuit]]-(1+deb_dimJF)),0))*24</f>
        <v>0</v>
      </c>
      <c r="S39" s="55">
        <f>(IF(COUNTIF(JF,Horaires3567314[[#This Row],[Date]]),MAX(0,MIN(fin_dimJF,Horaires3567314[[#This Row],[Fin corrigée si nuit]])-MAX(deb_dimJF,Horaires3567314[[#This Row],[début]])),0)+IF(COUNTIF(JF,Horaires3567314[[#This Row],[Date]]+1),MAX(0,Horaires3567314[[#This Row],[Fin corrigée si nuit]]-(1+deb_dimJF)),0))*24-
(IF(COUNTIF(JF,Horaires3567314[[#This Row],[Date]]),MAX(0,MIN(fin_dimJF,Horaires3567314[[#This Row],[PNP Fin corrigée]])-MAX(deb_dimJF,Horaires3567314[[#This Row],[PNP Début corrigé]])),0)+IF(COUNTIF(JF,Horaires3567314[[#This Row],[Date]]+1),MAX(0,Horaires3567314[[#This Row],[PNP Fin corrigée]]-(1+deb_dimJF)),0))*24</f>
        <v>0</v>
      </c>
    </row>
    <row r="40" spans="1:19" x14ac:dyDescent="0.35">
      <c r="A40" s="5"/>
      <c r="B40" s="1"/>
      <c r="C40" s="2"/>
      <c r="D40" s="2"/>
      <c r="E40" s="3"/>
      <c r="F40" s="3"/>
      <c r="G40" s="3"/>
      <c r="H40" s="3"/>
      <c r="I40" s="51">
        <f>0.1*(Horaires3567314[[#This Row],[Heures de nuit]]+Horaires3567314[[#This Row],[heures jour dimanche]]+Horaires3567314[[#This Row],[heures jour fériés]])</f>
        <v>0</v>
      </c>
      <c r="J40" s="52">
        <f>(MOD(Horaires3567314[[#This Row],[Fin]]-Horaires3567314[[#This Row],[début]],1)-MOD(Horaires3567314[[#This Row],[PNP Fin]]-Horaires3567314[[#This Row],[PNP Début]],1))*24</f>
        <v>0</v>
      </c>
      <c r="K40" s="53">
        <f>IF(Horaires3567314[[#This Row],[PNP Début]]=0,0,IF(Horaires3567314[[#This Row],[PNP Début]]&lt;Horaires3567314[[#This Row],[début]],1,0)+Horaires3567314[[#This Row],[PNP Début]])</f>
        <v>0</v>
      </c>
      <c r="L40" s="54">
        <f>IF(Horaires3567314[[#This Row],[PNP Fin]]=0,0,IF(Horaires3567314[[#This Row],[PNP Fin]]&lt;Horaires3567314[[#This Row],[début]],1,0)+Horaires3567314[[#This Row],[PNP Fin]])</f>
        <v>0</v>
      </c>
      <c r="M40" s="54">
        <f>IF(Horaires3567314[[#This Row],[Fin]]&lt;Horaires3567314[[#This Row],[début]],1,0)+Horaires3567314[[#This Row],[Fin]]</f>
        <v>0</v>
      </c>
      <c r="N40" s="35">
        <f>IF(Horaires3567314[[#This Row],[Fin]]&lt;Horaires3567314[[#This Row],[début]],MAX(0,MIN(Horaires3567314[[#This Row],[Fin corrigée si nuit]],fin_nuit)-MAX(Horaires3567314[[#This Row],[début]],deb_nuit))*24,(MAX(deb_nuit,Horaires3567314[[#This Row],[Fin]])-MAX(deb_nuit,Horaires3567314[[#This Row],[début]])+MAX(MIN(fin_nuit-1,Horaires3567314[[#This Row],[Fin]])-MIN(fin_nuit-1,Horaires3567314[[#This Row],[début]]),0))*24)</f>
        <v>0</v>
      </c>
      <c r="O40" s="55">
        <f>(MAX(0,MIN(Horaires3567314[[#This Row],[Fin corrigée si nuit]],fin_nuit)-MAX(Horaires3567314[[#This Row],[début]],deb_nuit))-IF(Horaires3567314[[#This Row],[PNP Début]]=0,0,MIN(Horaires3567314[[#This Row],[PNP Fin corrigée]],fin_nuit)-MAX(Horaires3567314[[#This Row],[PNP Début corrigé]],deb_nuit)))*24</f>
        <v>0</v>
      </c>
      <c r="P40" s="55">
        <f>(IF(WEEKDAY(Horaires3567314[[#This Row],[Date]],2)=7,MAX(0,MIN(fin_dimJF,Horaires3567314[[#This Row],[Fin corrigée si nuit]])-MAX(deb_dimJF,Horaires3567314[[#This Row],[début]])),0)+IF(WEEKDAY(Horaires3567314[[#This Row],[Date]],2)=6,MAX(0,Horaires3567314[[#This Row],[Fin corrigée si nuit]]-(1+deb_dimJF)),0))*24</f>
        <v>0</v>
      </c>
      <c r="Q40" s="55">
        <f>(IF(WEEKDAY(Horaires3567314[[#This Row],[Date]],2)=7,MAX(0,MIN(fin_dimJF,Horaires3567314[[#This Row],[Fin corrigée si nuit]])-MAX(deb_dimJF,Horaires3567314[[#This Row],[début]])),0)+IF(WEEKDAY(Horaires3567314[[#This Row],[Date]],2)=6,MAX(0,Horaires3567314[[#This Row],[Fin corrigée si nuit]]-(1+deb_dimJF)),0))*24-
(IF(WEEKDAY(Horaires3567314[[#This Row],[Date]],2)=7,MAX(0,MIN(fin_dimJF,Horaires3567314[[#This Row],[PNP Fin corrigée]])-MAX(deb_dimJF,Horaires3567314[[#This Row],[PNP Début corrigé]])),0)+IF(WEEKDAY(Horaires3567314[[#This Row],[Date]],2)=6,MAX(0,Horaires3567314[[#This Row],[PNP Fin corrigée]]-(1+deb_dimJF)),0))*24</f>
        <v>0</v>
      </c>
      <c r="R40" s="55">
        <f>(IF(COUNTIF(JF,Horaires3567314[[#This Row],[Date]]),MAX(0,MIN(fin_dimJF,Horaires3567314[[#This Row],[Fin corrigée si nuit]])-MAX(deb_dimJF,Horaires3567314[[#This Row],[début]])),0)+IF(COUNTIF(JF,Horaires3567314[[#This Row],[Date]]+1),MAX(0,Horaires3567314[[#This Row],[Fin corrigée si nuit]]-(1+deb_dimJF)),0))*24</f>
        <v>0</v>
      </c>
      <c r="S40" s="55">
        <f>(IF(COUNTIF(JF,Horaires3567314[[#This Row],[Date]]),MAX(0,MIN(fin_dimJF,Horaires3567314[[#This Row],[Fin corrigée si nuit]])-MAX(deb_dimJF,Horaires3567314[[#This Row],[début]])),0)+IF(COUNTIF(JF,Horaires3567314[[#This Row],[Date]]+1),MAX(0,Horaires3567314[[#This Row],[Fin corrigée si nuit]]-(1+deb_dimJF)),0))*24-
(IF(COUNTIF(JF,Horaires3567314[[#This Row],[Date]]),MAX(0,MIN(fin_dimJF,Horaires3567314[[#This Row],[PNP Fin corrigée]])-MAX(deb_dimJF,Horaires3567314[[#This Row],[PNP Début corrigé]])),0)+IF(COUNTIF(JF,Horaires3567314[[#This Row],[Date]]+1),MAX(0,Horaires3567314[[#This Row],[PNP Fin corrigée]]-(1+deb_dimJF)),0))*24</f>
        <v>0</v>
      </c>
    </row>
    <row r="41" spans="1:19" x14ac:dyDescent="0.35">
      <c r="A41" s="5"/>
      <c r="B41" s="1"/>
      <c r="C41" s="2"/>
      <c r="D41" s="2"/>
      <c r="E41" s="3"/>
      <c r="F41" s="3"/>
      <c r="G41" s="3"/>
      <c r="H41" s="3"/>
      <c r="I41" s="51">
        <f>0.1*(Horaires3567314[[#This Row],[Heures de nuit]]+Horaires3567314[[#This Row],[heures jour dimanche]]+Horaires3567314[[#This Row],[heures jour fériés]])</f>
        <v>0</v>
      </c>
      <c r="J41" s="52">
        <f>(MOD(Horaires3567314[[#This Row],[Fin]]-Horaires3567314[[#This Row],[début]],1)-MOD(Horaires3567314[[#This Row],[PNP Fin]]-Horaires3567314[[#This Row],[PNP Début]],1))*24</f>
        <v>0</v>
      </c>
      <c r="K41" s="53">
        <f>IF(Horaires3567314[[#This Row],[PNP Début]]=0,0,IF(Horaires3567314[[#This Row],[PNP Début]]&lt;Horaires3567314[[#This Row],[début]],1,0)+Horaires3567314[[#This Row],[PNP Début]])</f>
        <v>0</v>
      </c>
      <c r="L41" s="54">
        <f>IF(Horaires3567314[[#This Row],[PNP Fin]]=0,0,IF(Horaires3567314[[#This Row],[PNP Fin]]&lt;Horaires3567314[[#This Row],[début]],1,0)+Horaires3567314[[#This Row],[PNP Fin]])</f>
        <v>0</v>
      </c>
      <c r="M41" s="54">
        <f>IF(Horaires3567314[[#This Row],[Fin]]&lt;Horaires3567314[[#This Row],[début]],1,0)+Horaires3567314[[#This Row],[Fin]]</f>
        <v>0</v>
      </c>
      <c r="N41" s="35">
        <f>IF(Horaires3567314[[#This Row],[Fin]]&lt;Horaires3567314[[#This Row],[début]],MAX(0,MIN(Horaires3567314[[#This Row],[Fin corrigée si nuit]],fin_nuit)-MAX(Horaires3567314[[#This Row],[début]],deb_nuit))*24,(MAX(deb_nuit,Horaires3567314[[#This Row],[Fin]])-MAX(deb_nuit,Horaires3567314[[#This Row],[début]])+MAX(MIN(fin_nuit-1,Horaires3567314[[#This Row],[Fin]])-MIN(fin_nuit-1,Horaires3567314[[#This Row],[début]]),0))*24)</f>
        <v>0</v>
      </c>
      <c r="O41" s="55">
        <f>(MAX(0,MIN(Horaires3567314[[#This Row],[Fin corrigée si nuit]],fin_nuit)-MAX(Horaires3567314[[#This Row],[début]],deb_nuit))-IF(Horaires3567314[[#This Row],[PNP Début]]=0,0,MIN(Horaires3567314[[#This Row],[PNP Fin corrigée]],fin_nuit)-MAX(Horaires3567314[[#This Row],[PNP Début corrigé]],deb_nuit)))*24</f>
        <v>0</v>
      </c>
      <c r="P41" s="55">
        <f>(IF(WEEKDAY(Horaires3567314[[#This Row],[Date]],2)=7,MAX(0,MIN(fin_dimJF,Horaires3567314[[#This Row],[Fin corrigée si nuit]])-MAX(deb_dimJF,Horaires3567314[[#This Row],[début]])),0)+IF(WEEKDAY(Horaires3567314[[#This Row],[Date]],2)=6,MAX(0,Horaires3567314[[#This Row],[Fin corrigée si nuit]]-(1+deb_dimJF)),0))*24</f>
        <v>0</v>
      </c>
      <c r="Q41" s="55">
        <f>(IF(WEEKDAY(Horaires3567314[[#This Row],[Date]],2)=7,MAX(0,MIN(fin_dimJF,Horaires3567314[[#This Row],[Fin corrigée si nuit]])-MAX(deb_dimJF,Horaires3567314[[#This Row],[début]])),0)+IF(WEEKDAY(Horaires3567314[[#This Row],[Date]],2)=6,MAX(0,Horaires3567314[[#This Row],[Fin corrigée si nuit]]-(1+deb_dimJF)),0))*24-
(IF(WEEKDAY(Horaires3567314[[#This Row],[Date]],2)=7,MAX(0,MIN(fin_dimJF,Horaires3567314[[#This Row],[PNP Fin corrigée]])-MAX(deb_dimJF,Horaires3567314[[#This Row],[PNP Début corrigé]])),0)+IF(WEEKDAY(Horaires3567314[[#This Row],[Date]],2)=6,MAX(0,Horaires3567314[[#This Row],[PNP Fin corrigée]]-(1+deb_dimJF)),0))*24</f>
        <v>0</v>
      </c>
      <c r="R41" s="55">
        <f>(IF(COUNTIF(JF,Horaires3567314[[#This Row],[Date]]),MAX(0,MIN(fin_dimJF,Horaires3567314[[#This Row],[Fin corrigée si nuit]])-MAX(deb_dimJF,Horaires3567314[[#This Row],[début]])),0)+IF(COUNTIF(JF,Horaires3567314[[#This Row],[Date]]+1),MAX(0,Horaires3567314[[#This Row],[Fin corrigée si nuit]]-(1+deb_dimJF)),0))*24</f>
        <v>0</v>
      </c>
      <c r="S41" s="55">
        <f>(IF(COUNTIF(JF,Horaires3567314[[#This Row],[Date]]),MAX(0,MIN(fin_dimJF,Horaires3567314[[#This Row],[Fin corrigée si nuit]])-MAX(deb_dimJF,Horaires3567314[[#This Row],[début]])),0)+IF(COUNTIF(JF,Horaires3567314[[#This Row],[Date]]+1),MAX(0,Horaires3567314[[#This Row],[Fin corrigée si nuit]]-(1+deb_dimJF)),0))*24-
(IF(COUNTIF(JF,Horaires3567314[[#This Row],[Date]]),MAX(0,MIN(fin_dimJF,Horaires3567314[[#This Row],[PNP Fin corrigée]])-MAX(deb_dimJF,Horaires3567314[[#This Row],[PNP Début corrigé]])),0)+IF(COUNTIF(JF,Horaires3567314[[#This Row],[Date]]+1),MAX(0,Horaires3567314[[#This Row],[PNP Fin corrigée]]-(1+deb_dimJF)),0))*24</f>
        <v>0</v>
      </c>
    </row>
    <row r="42" spans="1:19" x14ac:dyDescent="0.35">
      <c r="A42" s="5"/>
      <c r="B42" s="1"/>
      <c r="C42" s="2"/>
      <c r="D42" s="2"/>
      <c r="E42" s="3"/>
      <c r="F42" s="3"/>
      <c r="G42" s="3"/>
      <c r="H42" s="3"/>
      <c r="I42" s="51">
        <f>0.1*(Horaires3567314[[#This Row],[Heures de nuit]]+Horaires3567314[[#This Row],[heures jour dimanche]]+Horaires3567314[[#This Row],[heures jour fériés]])</f>
        <v>0</v>
      </c>
      <c r="J42" s="52">
        <f>(MOD(Horaires3567314[[#This Row],[Fin]]-Horaires3567314[[#This Row],[début]],1)-MOD(Horaires3567314[[#This Row],[PNP Fin]]-Horaires3567314[[#This Row],[PNP Début]],1))*24</f>
        <v>0</v>
      </c>
      <c r="K42" s="53">
        <f>IF(Horaires3567314[[#This Row],[PNP Début]]=0,0,IF(Horaires3567314[[#This Row],[PNP Début]]&lt;Horaires3567314[[#This Row],[début]],1,0)+Horaires3567314[[#This Row],[PNP Début]])</f>
        <v>0</v>
      </c>
      <c r="L42" s="54">
        <f>IF(Horaires3567314[[#This Row],[PNP Fin]]=0,0,IF(Horaires3567314[[#This Row],[PNP Fin]]&lt;Horaires3567314[[#This Row],[début]],1,0)+Horaires3567314[[#This Row],[PNP Fin]])</f>
        <v>0</v>
      </c>
      <c r="M42" s="54">
        <f>IF(Horaires3567314[[#This Row],[Fin]]&lt;Horaires3567314[[#This Row],[début]],1,0)+Horaires3567314[[#This Row],[Fin]]</f>
        <v>0</v>
      </c>
      <c r="N42" s="35">
        <f>IF(Horaires3567314[[#This Row],[Fin]]&lt;Horaires3567314[[#This Row],[début]],MAX(0,MIN(Horaires3567314[[#This Row],[Fin corrigée si nuit]],fin_nuit)-MAX(Horaires3567314[[#This Row],[début]],deb_nuit))*24,(MAX(deb_nuit,Horaires3567314[[#This Row],[Fin]])-MAX(deb_nuit,Horaires3567314[[#This Row],[début]])+MAX(MIN(fin_nuit-1,Horaires3567314[[#This Row],[Fin]])-MIN(fin_nuit-1,Horaires3567314[[#This Row],[début]]),0))*24)</f>
        <v>0</v>
      </c>
      <c r="O42" s="55">
        <f>(MAX(0,MIN(Horaires3567314[[#This Row],[Fin corrigée si nuit]],fin_nuit)-MAX(Horaires3567314[[#This Row],[début]],deb_nuit))-IF(Horaires3567314[[#This Row],[PNP Début]]=0,0,MIN(Horaires3567314[[#This Row],[PNP Fin corrigée]],fin_nuit)-MAX(Horaires3567314[[#This Row],[PNP Début corrigé]],deb_nuit)))*24</f>
        <v>0</v>
      </c>
      <c r="P42" s="55">
        <f>(IF(WEEKDAY(Horaires3567314[[#This Row],[Date]],2)=7,MAX(0,MIN(fin_dimJF,Horaires3567314[[#This Row],[Fin corrigée si nuit]])-MAX(deb_dimJF,Horaires3567314[[#This Row],[début]])),0)+IF(WEEKDAY(Horaires3567314[[#This Row],[Date]],2)=6,MAX(0,Horaires3567314[[#This Row],[Fin corrigée si nuit]]-(1+deb_dimJF)),0))*24</f>
        <v>0</v>
      </c>
      <c r="Q42" s="55">
        <f>(IF(WEEKDAY(Horaires3567314[[#This Row],[Date]],2)=7,MAX(0,MIN(fin_dimJF,Horaires3567314[[#This Row],[Fin corrigée si nuit]])-MAX(deb_dimJF,Horaires3567314[[#This Row],[début]])),0)+IF(WEEKDAY(Horaires3567314[[#This Row],[Date]],2)=6,MAX(0,Horaires3567314[[#This Row],[Fin corrigée si nuit]]-(1+deb_dimJF)),0))*24-
(IF(WEEKDAY(Horaires3567314[[#This Row],[Date]],2)=7,MAX(0,MIN(fin_dimJF,Horaires3567314[[#This Row],[PNP Fin corrigée]])-MAX(deb_dimJF,Horaires3567314[[#This Row],[PNP Début corrigé]])),0)+IF(WEEKDAY(Horaires3567314[[#This Row],[Date]],2)=6,MAX(0,Horaires3567314[[#This Row],[PNP Fin corrigée]]-(1+deb_dimJF)),0))*24</f>
        <v>0</v>
      </c>
      <c r="R42" s="55">
        <f>(IF(COUNTIF(JF,Horaires3567314[[#This Row],[Date]]),MAX(0,MIN(fin_dimJF,Horaires3567314[[#This Row],[Fin corrigée si nuit]])-MAX(deb_dimJF,Horaires3567314[[#This Row],[début]])),0)+IF(COUNTIF(JF,Horaires3567314[[#This Row],[Date]]+1),MAX(0,Horaires3567314[[#This Row],[Fin corrigée si nuit]]-(1+deb_dimJF)),0))*24</f>
        <v>0</v>
      </c>
      <c r="S42" s="55">
        <f>(IF(COUNTIF(JF,Horaires3567314[[#This Row],[Date]]),MAX(0,MIN(fin_dimJF,Horaires3567314[[#This Row],[Fin corrigée si nuit]])-MAX(deb_dimJF,Horaires3567314[[#This Row],[début]])),0)+IF(COUNTIF(JF,Horaires3567314[[#This Row],[Date]]+1),MAX(0,Horaires3567314[[#This Row],[Fin corrigée si nuit]]-(1+deb_dimJF)),0))*24-
(IF(COUNTIF(JF,Horaires3567314[[#This Row],[Date]]),MAX(0,MIN(fin_dimJF,Horaires3567314[[#This Row],[PNP Fin corrigée]])-MAX(deb_dimJF,Horaires3567314[[#This Row],[PNP Début corrigé]])),0)+IF(COUNTIF(JF,Horaires3567314[[#This Row],[Date]]+1),MAX(0,Horaires3567314[[#This Row],[PNP Fin corrigée]]-(1+deb_dimJF)),0))*24</f>
        <v>0</v>
      </c>
    </row>
    <row r="43" spans="1:19" x14ac:dyDescent="0.35">
      <c r="A43" s="5"/>
      <c r="B43" s="1"/>
      <c r="C43" s="2"/>
      <c r="D43" s="2"/>
      <c r="E43" s="3"/>
      <c r="F43" s="3"/>
      <c r="G43" s="3"/>
      <c r="H43" s="3"/>
      <c r="I43" s="51">
        <f>0.1*(Horaires3567314[[#This Row],[Heures de nuit]]+Horaires3567314[[#This Row],[heures jour dimanche]]+Horaires3567314[[#This Row],[heures jour fériés]])</f>
        <v>0</v>
      </c>
      <c r="J43" s="52">
        <f>(MOD(Horaires3567314[[#This Row],[Fin]]-Horaires3567314[[#This Row],[début]],1)-MOD(Horaires3567314[[#This Row],[PNP Fin]]-Horaires3567314[[#This Row],[PNP Début]],1))*24</f>
        <v>0</v>
      </c>
      <c r="K43" s="53">
        <f>IF(Horaires3567314[[#This Row],[PNP Début]]=0,0,IF(Horaires3567314[[#This Row],[PNP Début]]&lt;Horaires3567314[[#This Row],[début]],1,0)+Horaires3567314[[#This Row],[PNP Début]])</f>
        <v>0</v>
      </c>
      <c r="L43" s="54">
        <f>IF(Horaires3567314[[#This Row],[PNP Fin]]=0,0,IF(Horaires3567314[[#This Row],[PNP Fin]]&lt;Horaires3567314[[#This Row],[début]],1,0)+Horaires3567314[[#This Row],[PNP Fin]])</f>
        <v>0</v>
      </c>
      <c r="M43" s="54">
        <f>IF(Horaires3567314[[#This Row],[Fin]]&lt;Horaires3567314[[#This Row],[début]],1,0)+Horaires3567314[[#This Row],[Fin]]</f>
        <v>0</v>
      </c>
      <c r="N43" s="35">
        <f>IF(Horaires3567314[[#This Row],[Fin]]&lt;Horaires3567314[[#This Row],[début]],MAX(0,MIN(Horaires3567314[[#This Row],[Fin corrigée si nuit]],fin_nuit)-MAX(Horaires3567314[[#This Row],[début]],deb_nuit))*24,(MAX(deb_nuit,Horaires3567314[[#This Row],[Fin]])-MAX(deb_nuit,Horaires3567314[[#This Row],[début]])+MAX(MIN(fin_nuit-1,Horaires3567314[[#This Row],[Fin]])-MIN(fin_nuit-1,Horaires3567314[[#This Row],[début]]),0))*24)</f>
        <v>0</v>
      </c>
      <c r="O43" s="55">
        <f>(MAX(0,MIN(Horaires3567314[[#This Row],[Fin corrigée si nuit]],fin_nuit)-MAX(Horaires3567314[[#This Row],[début]],deb_nuit))-IF(Horaires3567314[[#This Row],[PNP Début]]=0,0,MIN(Horaires3567314[[#This Row],[PNP Fin corrigée]],fin_nuit)-MAX(Horaires3567314[[#This Row],[PNP Début corrigé]],deb_nuit)))*24</f>
        <v>0</v>
      </c>
      <c r="P43" s="55">
        <f>(IF(WEEKDAY(Horaires3567314[[#This Row],[Date]],2)=7,MAX(0,MIN(fin_dimJF,Horaires3567314[[#This Row],[Fin corrigée si nuit]])-MAX(deb_dimJF,Horaires3567314[[#This Row],[début]])),0)+IF(WEEKDAY(Horaires3567314[[#This Row],[Date]],2)=6,MAX(0,Horaires3567314[[#This Row],[Fin corrigée si nuit]]-(1+deb_dimJF)),0))*24</f>
        <v>0</v>
      </c>
      <c r="Q43" s="55">
        <f>(IF(WEEKDAY(Horaires3567314[[#This Row],[Date]],2)=7,MAX(0,MIN(fin_dimJF,Horaires3567314[[#This Row],[Fin corrigée si nuit]])-MAX(deb_dimJF,Horaires3567314[[#This Row],[début]])),0)+IF(WEEKDAY(Horaires3567314[[#This Row],[Date]],2)=6,MAX(0,Horaires3567314[[#This Row],[Fin corrigée si nuit]]-(1+deb_dimJF)),0))*24-
(IF(WEEKDAY(Horaires3567314[[#This Row],[Date]],2)=7,MAX(0,MIN(fin_dimJF,Horaires3567314[[#This Row],[PNP Fin corrigée]])-MAX(deb_dimJF,Horaires3567314[[#This Row],[PNP Début corrigé]])),0)+IF(WEEKDAY(Horaires3567314[[#This Row],[Date]],2)=6,MAX(0,Horaires3567314[[#This Row],[PNP Fin corrigée]]-(1+deb_dimJF)),0))*24</f>
        <v>0</v>
      </c>
      <c r="R43" s="55">
        <f>(IF(COUNTIF(JF,Horaires3567314[[#This Row],[Date]]),MAX(0,MIN(fin_dimJF,Horaires3567314[[#This Row],[Fin corrigée si nuit]])-MAX(deb_dimJF,Horaires3567314[[#This Row],[début]])),0)+IF(COUNTIF(JF,Horaires3567314[[#This Row],[Date]]+1),MAX(0,Horaires3567314[[#This Row],[Fin corrigée si nuit]]-(1+deb_dimJF)),0))*24</f>
        <v>0</v>
      </c>
      <c r="S43" s="55">
        <f>(IF(COUNTIF(JF,Horaires3567314[[#This Row],[Date]]),MAX(0,MIN(fin_dimJF,Horaires3567314[[#This Row],[Fin corrigée si nuit]])-MAX(deb_dimJF,Horaires3567314[[#This Row],[début]])),0)+IF(COUNTIF(JF,Horaires3567314[[#This Row],[Date]]+1),MAX(0,Horaires3567314[[#This Row],[Fin corrigée si nuit]]-(1+deb_dimJF)),0))*24-
(IF(COUNTIF(JF,Horaires3567314[[#This Row],[Date]]),MAX(0,MIN(fin_dimJF,Horaires3567314[[#This Row],[PNP Fin corrigée]])-MAX(deb_dimJF,Horaires3567314[[#This Row],[PNP Début corrigé]])),0)+IF(COUNTIF(JF,Horaires3567314[[#This Row],[Date]]+1),MAX(0,Horaires3567314[[#This Row],[PNP Fin corrigée]]-(1+deb_dimJF)),0))*24</f>
        <v>0</v>
      </c>
    </row>
    <row r="44" spans="1:19" x14ac:dyDescent="0.35">
      <c r="A44" s="5"/>
      <c r="B44" s="1"/>
      <c r="C44" s="2"/>
      <c r="D44" s="2"/>
      <c r="E44" s="3"/>
      <c r="F44" s="3"/>
      <c r="G44" s="3"/>
      <c r="H44" s="3"/>
      <c r="I44" s="51">
        <f>0.1*(Horaires3567314[[#This Row],[Heures de nuit]]+Horaires3567314[[#This Row],[heures jour dimanche]]+Horaires3567314[[#This Row],[heures jour fériés]])</f>
        <v>0</v>
      </c>
      <c r="J44" s="52">
        <f>(MOD(Horaires3567314[[#This Row],[Fin]]-Horaires3567314[[#This Row],[début]],1)-MOD(Horaires3567314[[#This Row],[PNP Fin]]-Horaires3567314[[#This Row],[PNP Début]],1))*24</f>
        <v>0</v>
      </c>
      <c r="K44" s="53">
        <f>IF(Horaires3567314[[#This Row],[PNP Début]]=0,0,IF(Horaires3567314[[#This Row],[PNP Début]]&lt;Horaires3567314[[#This Row],[début]],1,0)+Horaires3567314[[#This Row],[PNP Début]])</f>
        <v>0</v>
      </c>
      <c r="L44" s="54">
        <f>IF(Horaires3567314[[#This Row],[PNP Fin]]=0,0,IF(Horaires3567314[[#This Row],[PNP Fin]]&lt;Horaires3567314[[#This Row],[début]],1,0)+Horaires3567314[[#This Row],[PNP Fin]])</f>
        <v>0</v>
      </c>
      <c r="M44" s="54">
        <f>IF(Horaires3567314[[#This Row],[Fin]]&lt;Horaires3567314[[#This Row],[début]],1,0)+Horaires3567314[[#This Row],[Fin]]</f>
        <v>0</v>
      </c>
      <c r="N44" s="35">
        <f>IF(Horaires3567314[[#This Row],[Fin]]&lt;Horaires3567314[[#This Row],[début]],MAX(0,MIN(Horaires3567314[[#This Row],[Fin corrigée si nuit]],fin_nuit)-MAX(Horaires3567314[[#This Row],[début]],deb_nuit))*24,(MAX(deb_nuit,Horaires3567314[[#This Row],[Fin]])-MAX(deb_nuit,Horaires3567314[[#This Row],[début]])+MAX(MIN(fin_nuit-1,Horaires3567314[[#This Row],[Fin]])-MIN(fin_nuit-1,Horaires3567314[[#This Row],[début]]),0))*24)</f>
        <v>0</v>
      </c>
      <c r="O44" s="55">
        <f>(MAX(0,MIN(Horaires3567314[[#This Row],[Fin corrigée si nuit]],fin_nuit)-MAX(Horaires3567314[[#This Row],[début]],deb_nuit))-IF(Horaires3567314[[#This Row],[PNP Début]]=0,0,MIN(Horaires3567314[[#This Row],[PNP Fin corrigée]],fin_nuit)-MAX(Horaires3567314[[#This Row],[PNP Début corrigé]],deb_nuit)))*24</f>
        <v>0</v>
      </c>
      <c r="P44" s="55">
        <f>(IF(WEEKDAY(Horaires3567314[[#This Row],[Date]],2)=7,MAX(0,MIN(fin_dimJF,Horaires3567314[[#This Row],[Fin corrigée si nuit]])-MAX(deb_dimJF,Horaires3567314[[#This Row],[début]])),0)+IF(WEEKDAY(Horaires3567314[[#This Row],[Date]],2)=6,MAX(0,Horaires3567314[[#This Row],[Fin corrigée si nuit]]-(1+deb_dimJF)),0))*24</f>
        <v>0</v>
      </c>
      <c r="Q44" s="55">
        <f>(IF(WEEKDAY(Horaires3567314[[#This Row],[Date]],2)=7,MAX(0,MIN(fin_dimJF,Horaires3567314[[#This Row],[Fin corrigée si nuit]])-MAX(deb_dimJF,Horaires3567314[[#This Row],[début]])),0)+IF(WEEKDAY(Horaires3567314[[#This Row],[Date]],2)=6,MAX(0,Horaires3567314[[#This Row],[Fin corrigée si nuit]]-(1+deb_dimJF)),0))*24-
(IF(WEEKDAY(Horaires3567314[[#This Row],[Date]],2)=7,MAX(0,MIN(fin_dimJF,Horaires3567314[[#This Row],[PNP Fin corrigée]])-MAX(deb_dimJF,Horaires3567314[[#This Row],[PNP Début corrigé]])),0)+IF(WEEKDAY(Horaires3567314[[#This Row],[Date]],2)=6,MAX(0,Horaires3567314[[#This Row],[PNP Fin corrigée]]-(1+deb_dimJF)),0))*24</f>
        <v>0</v>
      </c>
      <c r="R44" s="55">
        <f>(IF(COUNTIF(JF,Horaires3567314[[#This Row],[Date]]),MAX(0,MIN(fin_dimJF,Horaires3567314[[#This Row],[Fin corrigée si nuit]])-MAX(deb_dimJF,Horaires3567314[[#This Row],[début]])),0)+IF(COUNTIF(JF,Horaires3567314[[#This Row],[Date]]+1),MAX(0,Horaires3567314[[#This Row],[Fin corrigée si nuit]]-(1+deb_dimJF)),0))*24</f>
        <v>0</v>
      </c>
      <c r="S44" s="55">
        <f>(IF(COUNTIF(JF,Horaires3567314[[#This Row],[Date]]),MAX(0,MIN(fin_dimJF,Horaires3567314[[#This Row],[Fin corrigée si nuit]])-MAX(deb_dimJF,Horaires3567314[[#This Row],[début]])),0)+IF(COUNTIF(JF,Horaires3567314[[#This Row],[Date]]+1),MAX(0,Horaires3567314[[#This Row],[Fin corrigée si nuit]]-(1+deb_dimJF)),0))*24-
(IF(COUNTIF(JF,Horaires3567314[[#This Row],[Date]]),MAX(0,MIN(fin_dimJF,Horaires3567314[[#This Row],[PNP Fin corrigée]])-MAX(deb_dimJF,Horaires3567314[[#This Row],[PNP Début corrigé]])),0)+IF(COUNTIF(JF,Horaires3567314[[#This Row],[Date]]+1),MAX(0,Horaires3567314[[#This Row],[PNP Fin corrigée]]-(1+deb_dimJF)),0))*24</f>
        <v>0</v>
      </c>
    </row>
    <row r="45" spans="1:19" x14ac:dyDescent="0.35">
      <c r="A45" s="5"/>
      <c r="B45" s="1"/>
      <c r="C45" s="2"/>
      <c r="D45" s="2"/>
      <c r="E45" s="3"/>
      <c r="F45" s="3"/>
      <c r="G45" s="3"/>
      <c r="H45" s="3"/>
      <c r="I45" s="51">
        <f>0.1*(Horaires3567314[[#This Row],[Heures de nuit]]+Horaires3567314[[#This Row],[heures jour dimanche]]+Horaires3567314[[#This Row],[heures jour fériés]])</f>
        <v>0</v>
      </c>
      <c r="J45" s="52">
        <f>(MOD(Horaires3567314[[#This Row],[Fin]]-Horaires3567314[[#This Row],[début]],1)-MOD(Horaires3567314[[#This Row],[PNP Fin]]-Horaires3567314[[#This Row],[PNP Début]],1))*24</f>
        <v>0</v>
      </c>
      <c r="K45" s="53">
        <f>IF(Horaires3567314[[#This Row],[PNP Début]]=0,0,IF(Horaires3567314[[#This Row],[PNP Début]]&lt;Horaires3567314[[#This Row],[début]],1,0)+Horaires3567314[[#This Row],[PNP Début]])</f>
        <v>0</v>
      </c>
      <c r="L45" s="54">
        <f>IF(Horaires3567314[[#This Row],[PNP Fin]]=0,0,IF(Horaires3567314[[#This Row],[PNP Fin]]&lt;Horaires3567314[[#This Row],[début]],1,0)+Horaires3567314[[#This Row],[PNP Fin]])</f>
        <v>0</v>
      </c>
      <c r="M45" s="54">
        <f>IF(Horaires3567314[[#This Row],[Fin]]&lt;Horaires3567314[[#This Row],[début]],1,0)+Horaires3567314[[#This Row],[Fin]]</f>
        <v>0</v>
      </c>
      <c r="N45" s="35">
        <f>IF(Horaires3567314[[#This Row],[Fin]]&lt;Horaires3567314[[#This Row],[début]],MAX(0,MIN(Horaires3567314[[#This Row],[Fin corrigée si nuit]],fin_nuit)-MAX(Horaires3567314[[#This Row],[début]],deb_nuit))*24,(MAX(deb_nuit,Horaires3567314[[#This Row],[Fin]])-MAX(deb_nuit,Horaires3567314[[#This Row],[début]])+MAX(MIN(fin_nuit-1,Horaires3567314[[#This Row],[Fin]])-MIN(fin_nuit-1,Horaires3567314[[#This Row],[début]]),0))*24)</f>
        <v>0</v>
      </c>
      <c r="O45" s="55">
        <f>(MAX(0,MIN(Horaires3567314[[#This Row],[Fin corrigée si nuit]],fin_nuit)-MAX(Horaires3567314[[#This Row],[début]],deb_nuit))-IF(Horaires3567314[[#This Row],[PNP Début]]=0,0,MIN(Horaires3567314[[#This Row],[PNP Fin corrigée]],fin_nuit)-MAX(Horaires3567314[[#This Row],[PNP Début corrigé]],deb_nuit)))*24</f>
        <v>0</v>
      </c>
      <c r="P45" s="55">
        <f>(IF(WEEKDAY(Horaires3567314[[#This Row],[Date]],2)=7,MAX(0,MIN(fin_dimJF,Horaires3567314[[#This Row],[Fin corrigée si nuit]])-MAX(deb_dimJF,Horaires3567314[[#This Row],[début]])),0)+IF(WEEKDAY(Horaires3567314[[#This Row],[Date]],2)=6,MAX(0,Horaires3567314[[#This Row],[Fin corrigée si nuit]]-(1+deb_dimJF)),0))*24</f>
        <v>0</v>
      </c>
      <c r="Q45" s="55">
        <f>(IF(WEEKDAY(Horaires3567314[[#This Row],[Date]],2)=7,MAX(0,MIN(fin_dimJF,Horaires3567314[[#This Row],[Fin corrigée si nuit]])-MAX(deb_dimJF,Horaires3567314[[#This Row],[début]])),0)+IF(WEEKDAY(Horaires3567314[[#This Row],[Date]],2)=6,MAX(0,Horaires3567314[[#This Row],[Fin corrigée si nuit]]-(1+deb_dimJF)),0))*24-
(IF(WEEKDAY(Horaires3567314[[#This Row],[Date]],2)=7,MAX(0,MIN(fin_dimJF,Horaires3567314[[#This Row],[PNP Fin corrigée]])-MAX(deb_dimJF,Horaires3567314[[#This Row],[PNP Début corrigé]])),0)+IF(WEEKDAY(Horaires3567314[[#This Row],[Date]],2)=6,MAX(0,Horaires3567314[[#This Row],[PNP Fin corrigée]]-(1+deb_dimJF)),0))*24</f>
        <v>0</v>
      </c>
      <c r="R45" s="55">
        <f>(IF(COUNTIF(JF,Horaires3567314[[#This Row],[Date]]),MAX(0,MIN(fin_dimJF,Horaires3567314[[#This Row],[Fin corrigée si nuit]])-MAX(deb_dimJF,Horaires3567314[[#This Row],[début]])),0)+IF(COUNTIF(JF,Horaires3567314[[#This Row],[Date]]+1),MAX(0,Horaires3567314[[#This Row],[Fin corrigée si nuit]]-(1+deb_dimJF)),0))*24</f>
        <v>0</v>
      </c>
      <c r="S45" s="55">
        <f>(IF(COUNTIF(JF,Horaires3567314[[#This Row],[Date]]),MAX(0,MIN(fin_dimJF,Horaires3567314[[#This Row],[Fin corrigée si nuit]])-MAX(deb_dimJF,Horaires3567314[[#This Row],[début]])),0)+IF(COUNTIF(JF,Horaires3567314[[#This Row],[Date]]+1),MAX(0,Horaires3567314[[#This Row],[Fin corrigée si nuit]]-(1+deb_dimJF)),0))*24-
(IF(COUNTIF(JF,Horaires3567314[[#This Row],[Date]]),MAX(0,MIN(fin_dimJF,Horaires3567314[[#This Row],[PNP Fin corrigée]])-MAX(deb_dimJF,Horaires3567314[[#This Row],[PNP Début corrigé]])),0)+IF(COUNTIF(JF,Horaires3567314[[#This Row],[Date]]+1),MAX(0,Horaires3567314[[#This Row],[PNP Fin corrigée]]-(1+deb_dimJF)),0))*24</f>
        <v>0</v>
      </c>
    </row>
    <row r="46" spans="1:19" x14ac:dyDescent="0.35">
      <c r="A46" s="5"/>
      <c r="B46" s="1"/>
      <c r="C46" s="2"/>
      <c r="D46" s="2"/>
      <c r="E46" s="3"/>
      <c r="F46" s="3"/>
      <c r="G46" s="3"/>
      <c r="H46" s="3"/>
      <c r="I46" s="51">
        <f>0.1*(Horaires3567314[[#This Row],[Heures de nuit]]+Horaires3567314[[#This Row],[heures jour dimanche]]+Horaires3567314[[#This Row],[heures jour fériés]])</f>
        <v>0</v>
      </c>
      <c r="J46" s="52">
        <f>(MOD(Horaires3567314[[#This Row],[Fin]]-Horaires3567314[[#This Row],[début]],1)-MOD(Horaires3567314[[#This Row],[PNP Fin]]-Horaires3567314[[#This Row],[PNP Début]],1))*24</f>
        <v>0</v>
      </c>
      <c r="K46" s="53">
        <f>IF(Horaires3567314[[#This Row],[PNP Début]]=0,0,IF(Horaires3567314[[#This Row],[PNP Début]]&lt;Horaires3567314[[#This Row],[début]],1,0)+Horaires3567314[[#This Row],[PNP Début]])</f>
        <v>0</v>
      </c>
      <c r="L46" s="54">
        <f>IF(Horaires3567314[[#This Row],[PNP Fin]]=0,0,IF(Horaires3567314[[#This Row],[PNP Fin]]&lt;Horaires3567314[[#This Row],[début]],1,0)+Horaires3567314[[#This Row],[PNP Fin]])</f>
        <v>0</v>
      </c>
      <c r="M46" s="54">
        <f>IF(Horaires3567314[[#This Row],[Fin]]&lt;Horaires3567314[[#This Row],[début]],1,0)+Horaires3567314[[#This Row],[Fin]]</f>
        <v>0</v>
      </c>
      <c r="N46" s="35">
        <f>IF(Horaires3567314[[#This Row],[Fin]]&lt;Horaires3567314[[#This Row],[début]],MAX(0,MIN(Horaires3567314[[#This Row],[Fin corrigée si nuit]],fin_nuit)-MAX(Horaires3567314[[#This Row],[début]],deb_nuit))*24,(MAX(deb_nuit,Horaires3567314[[#This Row],[Fin]])-MAX(deb_nuit,Horaires3567314[[#This Row],[début]])+MAX(MIN(fin_nuit-1,Horaires3567314[[#This Row],[Fin]])-MIN(fin_nuit-1,Horaires3567314[[#This Row],[début]]),0))*24)</f>
        <v>0</v>
      </c>
      <c r="O46" s="55">
        <f>(MAX(0,MIN(Horaires3567314[[#This Row],[Fin corrigée si nuit]],fin_nuit)-MAX(Horaires3567314[[#This Row],[début]],deb_nuit))-IF(Horaires3567314[[#This Row],[PNP Début]]=0,0,MIN(Horaires3567314[[#This Row],[PNP Fin corrigée]],fin_nuit)-MAX(Horaires3567314[[#This Row],[PNP Début corrigé]],deb_nuit)))*24</f>
        <v>0</v>
      </c>
      <c r="P46" s="55">
        <f>(IF(WEEKDAY(Horaires3567314[[#This Row],[Date]],2)=7,MAX(0,MIN(fin_dimJF,Horaires3567314[[#This Row],[Fin corrigée si nuit]])-MAX(deb_dimJF,Horaires3567314[[#This Row],[début]])),0)+IF(WEEKDAY(Horaires3567314[[#This Row],[Date]],2)=6,MAX(0,Horaires3567314[[#This Row],[Fin corrigée si nuit]]-(1+deb_dimJF)),0))*24</f>
        <v>0</v>
      </c>
      <c r="Q46" s="55">
        <f>(IF(WEEKDAY(Horaires3567314[[#This Row],[Date]],2)=7,MAX(0,MIN(fin_dimJF,Horaires3567314[[#This Row],[Fin corrigée si nuit]])-MAX(deb_dimJF,Horaires3567314[[#This Row],[début]])),0)+IF(WEEKDAY(Horaires3567314[[#This Row],[Date]],2)=6,MAX(0,Horaires3567314[[#This Row],[Fin corrigée si nuit]]-(1+deb_dimJF)),0))*24-
(IF(WEEKDAY(Horaires3567314[[#This Row],[Date]],2)=7,MAX(0,MIN(fin_dimJF,Horaires3567314[[#This Row],[PNP Fin corrigée]])-MAX(deb_dimJF,Horaires3567314[[#This Row],[PNP Début corrigé]])),0)+IF(WEEKDAY(Horaires3567314[[#This Row],[Date]],2)=6,MAX(0,Horaires3567314[[#This Row],[PNP Fin corrigée]]-(1+deb_dimJF)),0))*24</f>
        <v>0</v>
      </c>
      <c r="R46" s="55">
        <f>(IF(COUNTIF(JF,Horaires3567314[[#This Row],[Date]]),MAX(0,MIN(fin_dimJF,Horaires3567314[[#This Row],[Fin corrigée si nuit]])-MAX(deb_dimJF,Horaires3567314[[#This Row],[début]])),0)+IF(COUNTIF(JF,Horaires3567314[[#This Row],[Date]]+1),MAX(0,Horaires3567314[[#This Row],[Fin corrigée si nuit]]-(1+deb_dimJF)),0))*24</f>
        <v>0</v>
      </c>
      <c r="S46" s="55">
        <f>(IF(COUNTIF(JF,Horaires3567314[[#This Row],[Date]]),MAX(0,MIN(fin_dimJF,Horaires3567314[[#This Row],[Fin corrigée si nuit]])-MAX(deb_dimJF,Horaires3567314[[#This Row],[début]])),0)+IF(COUNTIF(JF,Horaires3567314[[#This Row],[Date]]+1),MAX(0,Horaires3567314[[#This Row],[Fin corrigée si nuit]]-(1+deb_dimJF)),0))*24-
(IF(COUNTIF(JF,Horaires3567314[[#This Row],[Date]]),MAX(0,MIN(fin_dimJF,Horaires3567314[[#This Row],[PNP Fin corrigée]])-MAX(deb_dimJF,Horaires3567314[[#This Row],[PNP Début corrigé]])),0)+IF(COUNTIF(JF,Horaires3567314[[#This Row],[Date]]+1),MAX(0,Horaires3567314[[#This Row],[PNP Fin corrigée]]-(1+deb_dimJF)),0))*24</f>
        <v>0</v>
      </c>
    </row>
    <row r="47" spans="1:19" x14ac:dyDescent="0.35">
      <c r="A47" s="5"/>
      <c r="B47" s="1"/>
      <c r="C47" s="2"/>
      <c r="D47" s="2"/>
      <c r="E47" s="3"/>
      <c r="F47" s="3"/>
      <c r="G47" s="3"/>
      <c r="H47" s="3"/>
      <c r="I47" s="51">
        <f>0.1*(Horaires3567314[[#This Row],[Heures de nuit]]+Horaires3567314[[#This Row],[heures jour dimanche]]+Horaires3567314[[#This Row],[heures jour fériés]])</f>
        <v>0</v>
      </c>
      <c r="J47" s="52">
        <f>(MOD(Horaires3567314[[#This Row],[Fin]]-Horaires3567314[[#This Row],[début]],1)-MOD(Horaires3567314[[#This Row],[PNP Fin]]-Horaires3567314[[#This Row],[PNP Début]],1))*24</f>
        <v>0</v>
      </c>
      <c r="K47" s="53">
        <f>IF(Horaires3567314[[#This Row],[PNP Début]]=0,0,IF(Horaires3567314[[#This Row],[PNP Début]]&lt;Horaires3567314[[#This Row],[début]],1,0)+Horaires3567314[[#This Row],[PNP Début]])</f>
        <v>0</v>
      </c>
      <c r="L47" s="54">
        <f>IF(Horaires3567314[[#This Row],[PNP Fin]]=0,0,IF(Horaires3567314[[#This Row],[PNP Fin]]&lt;Horaires3567314[[#This Row],[début]],1,0)+Horaires3567314[[#This Row],[PNP Fin]])</f>
        <v>0</v>
      </c>
      <c r="M47" s="54">
        <f>IF(Horaires3567314[[#This Row],[Fin]]&lt;Horaires3567314[[#This Row],[début]],1,0)+Horaires3567314[[#This Row],[Fin]]</f>
        <v>0</v>
      </c>
      <c r="N47" s="35">
        <f>IF(Horaires3567314[[#This Row],[Fin]]&lt;Horaires3567314[[#This Row],[début]],MAX(0,MIN(Horaires3567314[[#This Row],[Fin corrigée si nuit]],fin_nuit)-MAX(Horaires3567314[[#This Row],[début]],deb_nuit))*24,(MAX(deb_nuit,Horaires3567314[[#This Row],[Fin]])-MAX(deb_nuit,Horaires3567314[[#This Row],[début]])+MAX(MIN(fin_nuit-1,Horaires3567314[[#This Row],[Fin]])-MIN(fin_nuit-1,Horaires3567314[[#This Row],[début]]),0))*24)</f>
        <v>0</v>
      </c>
      <c r="O47" s="55">
        <f>(MAX(0,MIN(Horaires3567314[[#This Row],[Fin corrigée si nuit]],fin_nuit)-MAX(Horaires3567314[[#This Row],[début]],deb_nuit))-IF(Horaires3567314[[#This Row],[PNP Début]]=0,0,MIN(Horaires3567314[[#This Row],[PNP Fin corrigée]],fin_nuit)-MAX(Horaires3567314[[#This Row],[PNP Début corrigé]],deb_nuit)))*24</f>
        <v>0</v>
      </c>
      <c r="P47" s="55">
        <f>(IF(WEEKDAY(Horaires3567314[[#This Row],[Date]],2)=7,MAX(0,MIN(fin_dimJF,Horaires3567314[[#This Row],[Fin corrigée si nuit]])-MAX(deb_dimJF,Horaires3567314[[#This Row],[début]])),0)+IF(WEEKDAY(Horaires3567314[[#This Row],[Date]],2)=6,MAX(0,Horaires3567314[[#This Row],[Fin corrigée si nuit]]-(1+deb_dimJF)),0))*24</f>
        <v>0</v>
      </c>
      <c r="Q47" s="55">
        <f>(IF(WEEKDAY(Horaires3567314[[#This Row],[Date]],2)=7,MAX(0,MIN(fin_dimJF,Horaires3567314[[#This Row],[Fin corrigée si nuit]])-MAX(deb_dimJF,Horaires3567314[[#This Row],[début]])),0)+IF(WEEKDAY(Horaires3567314[[#This Row],[Date]],2)=6,MAX(0,Horaires3567314[[#This Row],[Fin corrigée si nuit]]-(1+deb_dimJF)),0))*24-
(IF(WEEKDAY(Horaires3567314[[#This Row],[Date]],2)=7,MAX(0,MIN(fin_dimJF,Horaires3567314[[#This Row],[PNP Fin corrigée]])-MAX(deb_dimJF,Horaires3567314[[#This Row],[PNP Début corrigé]])),0)+IF(WEEKDAY(Horaires3567314[[#This Row],[Date]],2)=6,MAX(0,Horaires3567314[[#This Row],[PNP Fin corrigée]]-(1+deb_dimJF)),0))*24</f>
        <v>0</v>
      </c>
      <c r="R47" s="55">
        <f>(IF(COUNTIF(JF,Horaires3567314[[#This Row],[Date]]),MAX(0,MIN(fin_dimJF,Horaires3567314[[#This Row],[Fin corrigée si nuit]])-MAX(deb_dimJF,Horaires3567314[[#This Row],[début]])),0)+IF(COUNTIF(JF,Horaires3567314[[#This Row],[Date]]+1),MAX(0,Horaires3567314[[#This Row],[Fin corrigée si nuit]]-(1+deb_dimJF)),0))*24</f>
        <v>0</v>
      </c>
      <c r="S47" s="55">
        <f>(IF(COUNTIF(JF,Horaires3567314[[#This Row],[Date]]),MAX(0,MIN(fin_dimJF,Horaires3567314[[#This Row],[Fin corrigée si nuit]])-MAX(deb_dimJF,Horaires3567314[[#This Row],[début]])),0)+IF(COUNTIF(JF,Horaires3567314[[#This Row],[Date]]+1),MAX(0,Horaires3567314[[#This Row],[Fin corrigée si nuit]]-(1+deb_dimJF)),0))*24-
(IF(COUNTIF(JF,Horaires3567314[[#This Row],[Date]]),MAX(0,MIN(fin_dimJF,Horaires3567314[[#This Row],[PNP Fin corrigée]])-MAX(deb_dimJF,Horaires3567314[[#This Row],[PNP Début corrigé]])),0)+IF(COUNTIF(JF,Horaires3567314[[#This Row],[Date]]+1),MAX(0,Horaires3567314[[#This Row],[PNP Fin corrigée]]-(1+deb_dimJF)),0))*24</f>
        <v>0</v>
      </c>
    </row>
    <row r="48" spans="1:19" x14ac:dyDescent="0.35">
      <c r="A48" s="5"/>
      <c r="B48" s="1"/>
      <c r="C48" s="2"/>
      <c r="D48" s="2"/>
      <c r="E48" s="3"/>
      <c r="F48" s="3"/>
      <c r="G48" s="3"/>
      <c r="H48" s="3"/>
      <c r="I48" s="51">
        <f>0.1*(Horaires3567314[[#This Row],[Heures de nuit]]+Horaires3567314[[#This Row],[heures jour dimanche]]+Horaires3567314[[#This Row],[heures jour fériés]])</f>
        <v>0</v>
      </c>
      <c r="J48" s="52">
        <f>(MOD(Horaires3567314[[#This Row],[Fin]]-Horaires3567314[[#This Row],[début]],1)-MOD(Horaires3567314[[#This Row],[PNP Fin]]-Horaires3567314[[#This Row],[PNP Début]],1))*24</f>
        <v>0</v>
      </c>
      <c r="K48" s="53">
        <f>IF(Horaires3567314[[#This Row],[PNP Début]]=0,0,IF(Horaires3567314[[#This Row],[PNP Début]]&lt;Horaires3567314[[#This Row],[début]],1,0)+Horaires3567314[[#This Row],[PNP Début]])</f>
        <v>0</v>
      </c>
      <c r="L48" s="54">
        <f>IF(Horaires3567314[[#This Row],[PNP Fin]]=0,0,IF(Horaires3567314[[#This Row],[PNP Fin]]&lt;Horaires3567314[[#This Row],[début]],1,0)+Horaires3567314[[#This Row],[PNP Fin]])</f>
        <v>0</v>
      </c>
      <c r="M48" s="54">
        <f>IF(Horaires3567314[[#This Row],[Fin]]&lt;Horaires3567314[[#This Row],[début]],1,0)+Horaires3567314[[#This Row],[Fin]]</f>
        <v>0</v>
      </c>
      <c r="N48" s="35">
        <f>IF(Horaires3567314[[#This Row],[Fin]]&lt;Horaires3567314[[#This Row],[début]],MAX(0,MIN(Horaires3567314[[#This Row],[Fin corrigée si nuit]],fin_nuit)-MAX(Horaires3567314[[#This Row],[début]],deb_nuit))*24,(MAX(deb_nuit,Horaires3567314[[#This Row],[Fin]])-MAX(deb_nuit,Horaires3567314[[#This Row],[début]])+MAX(MIN(fin_nuit-1,Horaires3567314[[#This Row],[Fin]])-MIN(fin_nuit-1,Horaires3567314[[#This Row],[début]]),0))*24)</f>
        <v>0</v>
      </c>
      <c r="O48" s="55">
        <f>(MAX(0,MIN(Horaires3567314[[#This Row],[Fin corrigée si nuit]],fin_nuit)-MAX(Horaires3567314[[#This Row],[début]],deb_nuit))-IF(Horaires3567314[[#This Row],[PNP Début]]=0,0,MIN(Horaires3567314[[#This Row],[PNP Fin corrigée]],fin_nuit)-MAX(Horaires3567314[[#This Row],[PNP Début corrigé]],deb_nuit)))*24</f>
        <v>0</v>
      </c>
      <c r="P48" s="55">
        <f>(IF(WEEKDAY(Horaires3567314[[#This Row],[Date]],2)=7,MAX(0,MIN(fin_dimJF,Horaires3567314[[#This Row],[Fin corrigée si nuit]])-MAX(deb_dimJF,Horaires3567314[[#This Row],[début]])),0)+IF(WEEKDAY(Horaires3567314[[#This Row],[Date]],2)=6,MAX(0,Horaires3567314[[#This Row],[Fin corrigée si nuit]]-(1+deb_dimJF)),0))*24</f>
        <v>0</v>
      </c>
      <c r="Q48" s="55">
        <f>(IF(WEEKDAY(Horaires3567314[[#This Row],[Date]],2)=7,MAX(0,MIN(fin_dimJF,Horaires3567314[[#This Row],[Fin corrigée si nuit]])-MAX(deb_dimJF,Horaires3567314[[#This Row],[début]])),0)+IF(WEEKDAY(Horaires3567314[[#This Row],[Date]],2)=6,MAX(0,Horaires3567314[[#This Row],[Fin corrigée si nuit]]-(1+deb_dimJF)),0))*24-
(IF(WEEKDAY(Horaires3567314[[#This Row],[Date]],2)=7,MAX(0,MIN(fin_dimJF,Horaires3567314[[#This Row],[PNP Fin corrigée]])-MAX(deb_dimJF,Horaires3567314[[#This Row],[PNP Début corrigé]])),0)+IF(WEEKDAY(Horaires3567314[[#This Row],[Date]],2)=6,MAX(0,Horaires3567314[[#This Row],[PNP Fin corrigée]]-(1+deb_dimJF)),0))*24</f>
        <v>0</v>
      </c>
      <c r="R48" s="55">
        <f>(IF(COUNTIF(JF,Horaires3567314[[#This Row],[Date]]),MAX(0,MIN(fin_dimJF,Horaires3567314[[#This Row],[Fin corrigée si nuit]])-MAX(deb_dimJF,Horaires3567314[[#This Row],[début]])),0)+IF(COUNTIF(JF,Horaires3567314[[#This Row],[Date]]+1),MAX(0,Horaires3567314[[#This Row],[Fin corrigée si nuit]]-(1+deb_dimJF)),0))*24</f>
        <v>0</v>
      </c>
      <c r="S48" s="55">
        <f>(IF(COUNTIF(JF,Horaires3567314[[#This Row],[Date]]),MAX(0,MIN(fin_dimJF,Horaires3567314[[#This Row],[Fin corrigée si nuit]])-MAX(deb_dimJF,Horaires3567314[[#This Row],[début]])),0)+IF(COUNTIF(JF,Horaires3567314[[#This Row],[Date]]+1),MAX(0,Horaires3567314[[#This Row],[Fin corrigée si nuit]]-(1+deb_dimJF)),0))*24-
(IF(COUNTIF(JF,Horaires3567314[[#This Row],[Date]]),MAX(0,MIN(fin_dimJF,Horaires3567314[[#This Row],[PNP Fin corrigée]])-MAX(deb_dimJF,Horaires3567314[[#This Row],[PNP Début corrigé]])),0)+IF(COUNTIF(JF,Horaires3567314[[#This Row],[Date]]+1),MAX(0,Horaires3567314[[#This Row],[PNP Fin corrigée]]-(1+deb_dimJF)),0))*24</f>
        <v>0</v>
      </c>
    </row>
    <row r="49" spans="1:19" ht="15" thickBot="1" x14ac:dyDescent="0.4">
      <c r="A49" s="5"/>
      <c r="B49" s="1"/>
      <c r="C49" s="2"/>
      <c r="D49" s="2"/>
      <c r="E49" s="3"/>
      <c r="F49" s="3"/>
      <c r="G49" s="3"/>
      <c r="H49" s="3"/>
      <c r="I49" s="51">
        <f>0.1*(Horaires3567314[[#This Row],[Heures de nuit]]+Horaires3567314[[#This Row],[heures jour dimanche]]+Horaires3567314[[#This Row],[heures jour fériés]])</f>
        <v>0</v>
      </c>
      <c r="J49" s="52">
        <f>(MOD(Horaires3567314[[#This Row],[Fin]]-Horaires3567314[[#This Row],[début]],1)-MOD(Horaires3567314[[#This Row],[PNP Fin]]-Horaires3567314[[#This Row],[PNP Début]],1))*24</f>
        <v>0</v>
      </c>
      <c r="K49" s="53">
        <f>IF(Horaires3567314[[#This Row],[PNP Début]]=0,0,IF(Horaires3567314[[#This Row],[PNP Début]]&lt;Horaires3567314[[#This Row],[début]],1,0)+Horaires3567314[[#This Row],[PNP Début]])</f>
        <v>0</v>
      </c>
      <c r="L49" s="54">
        <f>IF(Horaires3567314[[#This Row],[PNP Fin]]=0,0,IF(Horaires3567314[[#This Row],[PNP Fin]]&lt;Horaires3567314[[#This Row],[début]],1,0)+Horaires3567314[[#This Row],[PNP Fin]])</f>
        <v>0</v>
      </c>
      <c r="M49" s="54">
        <f>IF(Horaires3567314[[#This Row],[Fin]]&lt;Horaires3567314[[#This Row],[début]],1,0)+Horaires3567314[[#This Row],[Fin]]</f>
        <v>0</v>
      </c>
      <c r="N49" s="35">
        <f>IF(Horaires3567314[[#This Row],[Fin]]&lt;Horaires3567314[[#This Row],[début]],MAX(0,MIN(Horaires3567314[[#This Row],[Fin corrigée si nuit]],fin_nuit)-MAX(Horaires3567314[[#This Row],[début]],deb_nuit))*24,(MAX(deb_nuit,Horaires3567314[[#This Row],[Fin]])-MAX(deb_nuit,Horaires3567314[[#This Row],[début]])+MAX(MIN(fin_nuit-1,Horaires3567314[[#This Row],[Fin]])-MIN(fin_nuit-1,Horaires3567314[[#This Row],[début]]),0))*24)</f>
        <v>0</v>
      </c>
      <c r="O49" s="55">
        <f>(MAX(0,MIN(Horaires3567314[[#This Row],[Fin corrigée si nuit]],fin_nuit)-MAX(Horaires3567314[[#This Row],[début]],deb_nuit))-IF(Horaires3567314[[#This Row],[PNP Début]]=0,0,MIN(Horaires3567314[[#This Row],[PNP Fin corrigée]],fin_nuit)-MAX(Horaires3567314[[#This Row],[PNP Début corrigé]],deb_nuit)))*24</f>
        <v>0</v>
      </c>
      <c r="P49" s="55">
        <f>(IF(WEEKDAY(Horaires3567314[[#This Row],[Date]],2)=7,MAX(0,MIN(fin_dimJF,Horaires3567314[[#This Row],[Fin corrigée si nuit]])-MAX(deb_dimJF,Horaires3567314[[#This Row],[début]])),0)+IF(WEEKDAY(Horaires3567314[[#This Row],[Date]],2)=6,MAX(0,Horaires3567314[[#This Row],[Fin corrigée si nuit]]-(1+deb_dimJF)),0))*24</f>
        <v>0</v>
      </c>
      <c r="Q49" s="55">
        <f>(IF(WEEKDAY(Horaires3567314[[#This Row],[Date]],2)=7,MAX(0,MIN(fin_dimJF,Horaires3567314[[#This Row],[Fin corrigée si nuit]])-MAX(deb_dimJF,Horaires3567314[[#This Row],[début]])),0)+IF(WEEKDAY(Horaires3567314[[#This Row],[Date]],2)=6,MAX(0,Horaires3567314[[#This Row],[Fin corrigée si nuit]]-(1+deb_dimJF)),0))*24-
(IF(WEEKDAY(Horaires3567314[[#This Row],[Date]],2)=7,MAX(0,MIN(fin_dimJF,Horaires3567314[[#This Row],[PNP Fin corrigée]])-MAX(deb_dimJF,Horaires3567314[[#This Row],[PNP Début corrigé]])),0)+IF(WEEKDAY(Horaires3567314[[#This Row],[Date]],2)=6,MAX(0,Horaires3567314[[#This Row],[PNP Fin corrigée]]-(1+deb_dimJF)),0))*24</f>
        <v>0</v>
      </c>
      <c r="R49" s="55">
        <f>(IF(COUNTIF(JF,Horaires3567314[[#This Row],[Date]]),MAX(0,MIN(fin_dimJF,Horaires3567314[[#This Row],[Fin corrigée si nuit]])-MAX(deb_dimJF,Horaires3567314[[#This Row],[début]])),0)+IF(COUNTIF(JF,Horaires3567314[[#This Row],[Date]]+1),MAX(0,Horaires3567314[[#This Row],[Fin corrigée si nuit]]-(1+deb_dimJF)),0))*24</f>
        <v>0</v>
      </c>
      <c r="S49" s="55">
        <f>(IF(COUNTIF(JF,Horaires3567314[[#This Row],[Date]]),MAX(0,MIN(fin_dimJF,Horaires3567314[[#This Row],[Fin corrigée si nuit]])-MAX(deb_dimJF,Horaires3567314[[#This Row],[début]])),0)+IF(COUNTIF(JF,Horaires3567314[[#This Row],[Date]]+1),MAX(0,Horaires3567314[[#This Row],[Fin corrigée si nuit]]-(1+deb_dimJF)),0))*24-
(IF(COUNTIF(JF,Horaires3567314[[#This Row],[Date]]),MAX(0,MIN(fin_dimJF,Horaires3567314[[#This Row],[PNP Fin corrigée]])-MAX(deb_dimJF,Horaires3567314[[#This Row],[PNP Début corrigé]])),0)+IF(COUNTIF(JF,Horaires3567314[[#This Row],[Date]]+1),MAX(0,Horaires3567314[[#This Row],[PNP Fin corrigée]]-(1+deb_dimJF)),0))*24</f>
        <v>0</v>
      </c>
    </row>
    <row r="50" spans="1:19" ht="16" thickBot="1" x14ac:dyDescent="0.4">
      <c r="A50" s="56"/>
      <c r="B50" s="19"/>
      <c r="C50" s="19"/>
      <c r="D50" s="19"/>
      <c r="E50" s="113" t="s">
        <v>29</v>
      </c>
      <c r="F50" s="114"/>
      <c r="G50" s="114"/>
      <c r="H50" s="115"/>
      <c r="I50" s="57">
        <f>SUM(Horaires3567314[Majoration])</f>
        <v>0</v>
      </c>
      <c r="J50" s="58">
        <f>SUM(Horaires3567314[Heures totales payées])</f>
        <v>0</v>
      </c>
      <c r="K50" s="19"/>
      <c r="L50" s="19"/>
      <c r="M50" s="19"/>
      <c r="N50" s="19"/>
      <c r="O50" s="19"/>
      <c r="P50" s="19"/>
      <c r="Q50" s="19"/>
      <c r="R50" s="19"/>
      <c r="S50" s="19"/>
    </row>
    <row r="51" spans="1:19" ht="17.399999999999999" customHeight="1" x14ac:dyDescent="0.35">
      <c r="A51" s="116" t="s">
        <v>30</v>
      </c>
      <c r="B51" s="116"/>
      <c r="C51" s="116"/>
      <c r="D51" s="116"/>
      <c r="E51" s="19"/>
      <c r="F51" s="19"/>
      <c r="G51" s="117" t="s">
        <v>31</v>
      </c>
      <c r="H51" s="117"/>
      <c r="I51" s="117"/>
      <c r="J51" s="117"/>
      <c r="K51" s="19"/>
      <c r="L51" s="19"/>
      <c r="M51" s="19"/>
      <c r="N51" s="19"/>
      <c r="O51" s="19"/>
      <c r="P51" s="19"/>
      <c r="Q51" s="19"/>
      <c r="R51" s="19"/>
      <c r="S51" s="19"/>
    </row>
    <row r="52" spans="1:19" x14ac:dyDescent="0.35">
      <c r="A52" s="118"/>
      <c r="B52" s="119"/>
      <c r="C52" s="119"/>
      <c r="D52" s="120"/>
      <c r="E52" s="56"/>
      <c r="F52" s="19"/>
      <c r="G52" s="118"/>
      <c r="H52" s="119"/>
      <c r="I52" s="119"/>
      <c r="J52" s="119"/>
      <c r="K52" s="19"/>
      <c r="L52" s="19"/>
      <c r="M52" s="19"/>
      <c r="N52" s="19"/>
      <c r="O52" s="19"/>
      <c r="P52" s="19"/>
      <c r="Q52" s="19"/>
      <c r="R52" s="19"/>
      <c r="S52" s="19"/>
    </row>
    <row r="53" spans="1:19" x14ac:dyDescent="0.35">
      <c r="A53" s="121"/>
      <c r="B53" s="122"/>
      <c r="C53" s="122"/>
      <c r="D53" s="123"/>
      <c r="E53" s="19"/>
      <c r="F53" s="19"/>
      <c r="G53" s="121"/>
      <c r="H53" s="122"/>
      <c r="I53" s="122"/>
      <c r="J53" s="122"/>
      <c r="K53" s="19"/>
      <c r="L53" s="19"/>
      <c r="M53" s="19"/>
      <c r="N53" s="19"/>
      <c r="O53" s="19"/>
      <c r="P53" s="19"/>
      <c r="Q53" s="19"/>
      <c r="R53" s="19"/>
      <c r="S53" s="19"/>
    </row>
    <row r="54" spans="1:19" ht="7.75" customHeight="1" x14ac:dyDescent="0.35">
      <c r="A54" s="124"/>
      <c r="B54" s="125"/>
      <c r="C54" s="125"/>
      <c r="D54" s="126"/>
      <c r="E54" s="56"/>
      <c r="F54" s="19"/>
      <c r="G54" s="124"/>
      <c r="H54" s="125"/>
      <c r="I54" s="125"/>
      <c r="J54" s="125"/>
      <c r="K54" s="19"/>
      <c r="L54" s="19"/>
      <c r="M54" s="19"/>
      <c r="N54" s="19"/>
      <c r="O54" s="19"/>
      <c r="P54" s="19"/>
      <c r="Q54" s="19"/>
      <c r="R54" s="19"/>
      <c r="S54" s="19"/>
    </row>
    <row r="55" spans="1:19" x14ac:dyDescent="0.35">
      <c r="A55" s="56"/>
      <c r="B55" s="19"/>
      <c r="C55" s="19"/>
      <c r="D55" s="19"/>
      <c r="E55" s="19"/>
      <c r="F55" s="19"/>
      <c r="G55" s="19"/>
      <c r="H55" s="19"/>
      <c r="I55" s="19"/>
      <c r="J55" s="62"/>
      <c r="K55" s="19"/>
      <c r="L55" s="19"/>
      <c r="M55" s="19"/>
      <c r="N55" s="19"/>
      <c r="O55" s="19"/>
      <c r="P55" s="19"/>
      <c r="Q55" s="19"/>
      <c r="R55" s="19"/>
      <c r="S55" s="19"/>
    </row>
    <row r="56" spans="1:19" x14ac:dyDescent="0.35">
      <c r="A56" s="19"/>
      <c r="B56" s="19"/>
      <c r="C56" s="19"/>
      <c r="D56" s="19"/>
      <c r="E56" s="19"/>
      <c r="F56" s="19"/>
      <c r="G56" s="19"/>
      <c r="H56" s="19"/>
      <c r="I56" s="19"/>
      <c r="J56" s="20"/>
      <c r="K56" s="19"/>
      <c r="L56" s="19"/>
      <c r="M56" s="19"/>
      <c r="N56" s="19"/>
      <c r="O56" s="19"/>
      <c r="P56" s="19"/>
      <c r="Q56" s="19"/>
      <c r="R56" s="19"/>
      <c r="S56" s="19"/>
    </row>
    <row r="57" spans="1:19" x14ac:dyDescent="0.35">
      <c r="A57" s="19"/>
      <c r="B57" s="19"/>
      <c r="C57" s="19"/>
      <c r="D57" s="19"/>
      <c r="E57" s="19"/>
      <c r="F57" s="19"/>
      <c r="G57" s="19"/>
      <c r="H57" s="19"/>
      <c r="I57" s="19"/>
      <c r="J57" s="20"/>
      <c r="K57" s="19"/>
      <c r="L57" s="19"/>
      <c r="M57" s="19"/>
      <c r="N57" s="19"/>
      <c r="O57" s="19"/>
      <c r="P57" s="19"/>
      <c r="Q57" s="19"/>
      <c r="R57" s="19"/>
      <c r="S57" s="19"/>
    </row>
    <row r="58" spans="1:19" x14ac:dyDescent="0.35">
      <c r="A58" s="19"/>
      <c r="B58" s="19"/>
      <c r="C58" s="19"/>
      <c r="D58" s="19"/>
      <c r="E58" s="19"/>
      <c r="F58" s="19"/>
      <c r="G58" s="19"/>
      <c r="H58" s="19"/>
      <c r="I58" s="19"/>
      <c r="J58" s="20"/>
      <c r="K58" s="19"/>
      <c r="L58" s="19"/>
      <c r="M58" s="19"/>
      <c r="N58" s="19"/>
      <c r="O58" s="19"/>
      <c r="P58" s="19"/>
      <c r="Q58" s="19"/>
      <c r="R58" s="19"/>
      <c r="S58" s="19"/>
    </row>
    <row r="59" spans="1:19" x14ac:dyDescent="0.35">
      <c r="A59" s="19"/>
      <c r="B59" s="19"/>
      <c r="C59" s="19"/>
      <c r="D59" s="19"/>
      <c r="E59" s="19"/>
      <c r="F59" s="19"/>
      <c r="G59" s="19"/>
      <c r="H59" s="19"/>
      <c r="I59" s="19"/>
      <c r="J59" s="20"/>
      <c r="K59" s="19"/>
      <c r="L59" s="19"/>
      <c r="M59" s="19"/>
      <c r="N59" s="19"/>
      <c r="O59" s="19"/>
      <c r="P59" s="19"/>
      <c r="Q59" s="19"/>
      <c r="R59" s="19"/>
      <c r="S59" s="19"/>
    </row>
    <row r="60" spans="1:19" x14ac:dyDescent="0.35">
      <c r="A60" s="19"/>
      <c r="B60" s="19"/>
      <c r="C60" s="19"/>
      <c r="D60" s="19"/>
      <c r="E60" s="19"/>
      <c r="F60" s="19"/>
      <c r="G60" s="19"/>
      <c r="H60" s="19"/>
      <c r="I60" s="19"/>
      <c r="J60" s="20"/>
      <c r="K60" s="19"/>
      <c r="L60" s="19"/>
      <c r="M60" s="19"/>
      <c r="N60" s="19"/>
      <c r="O60" s="19"/>
      <c r="P60" s="19"/>
      <c r="Q60" s="19"/>
      <c r="R60" s="19"/>
      <c r="S60" s="19"/>
    </row>
  </sheetData>
  <sheetProtection selectLockedCells="1"/>
  <mergeCells count="19">
    <mergeCell ref="E50:H50"/>
    <mergeCell ref="A51:D51"/>
    <mergeCell ref="G51:J51"/>
    <mergeCell ref="A52:D54"/>
    <mergeCell ref="G52:J54"/>
    <mergeCell ref="A1:B2"/>
    <mergeCell ref="A3:J4"/>
    <mergeCell ref="D5:F5"/>
    <mergeCell ref="G5:H5"/>
    <mergeCell ref="J9:J11"/>
    <mergeCell ref="C10:C11"/>
    <mergeCell ref="D10:D11"/>
    <mergeCell ref="E10:F10"/>
    <mergeCell ref="G10:H10"/>
    <mergeCell ref="A9:A11"/>
    <mergeCell ref="B9:B11"/>
    <mergeCell ref="C9:D9"/>
    <mergeCell ref="E9:H9"/>
    <mergeCell ref="I9:I11"/>
  </mergeCells>
  <dataValidations count="3">
    <dataValidation type="date" operator="greaterThan" allowBlank="1" showInputMessage="1" showErrorMessage="1" error="Tapez le mois sous le format suivant_x000a_09/17" promptTitle="Mois du relevé" sqref="J5">
      <formula1>42736</formula1>
    </dataValidation>
    <dataValidation type="time" allowBlank="1" showInputMessage="1" showErrorMessage="1" error="Tapez les heures sous le format_x000a_00:00" sqref="C13:H49">
      <formula1>0</formula1>
      <formula2>0.999305555555556</formula2>
    </dataValidation>
    <dataValidation allowBlank="1" showInputMessage="1" showErrorMessage="1" error="Tapez les heures sous le format_x000a_00:00" sqref="K12:N49"/>
  </dataValidations>
  <printOptions horizontalCentered="1"/>
  <pageMargins left="0" right="0" top="0" bottom="0" header="0" footer="0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12289" r:id="rId4" name="CommandButton1">
          <controlPr defaultSize="0" print="0" autoLine="0" r:id="rId5">
            <anchor moveWithCells="1">
              <from>
                <xdr:col>19</xdr:col>
                <xdr:colOff>0</xdr:colOff>
                <xdr:row>0</xdr:row>
                <xdr:rowOff>177800</xdr:rowOff>
              </from>
              <to>
                <xdr:col>20</xdr:col>
                <xdr:colOff>31750</xdr:colOff>
                <xdr:row>4</xdr:row>
                <xdr:rowOff>63500</xdr:rowOff>
              </to>
            </anchor>
          </controlPr>
        </control>
      </mc:Choice>
      <mc:Fallback>
        <control shapeId="12289" r:id="rId4" name="CommandButton1"/>
      </mc:Fallback>
    </mc:AlternateContent>
  </controls>
  <tableParts count="1">
    <tablePart r:id="rId6"/>
  </tableParts>
</worksheet>
</file>

<file path=xl/worksheets/sheet1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3"/>
  <dimension ref="A1:S60"/>
  <sheetViews>
    <sheetView workbookViewId="0">
      <selection activeCell="B16" sqref="B16"/>
    </sheetView>
  </sheetViews>
  <sheetFormatPr baseColWidth="10" defaultRowHeight="14.5" x14ac:dyDescent="0.35"/>
  <cols>
    <col min="1" max="1" width="20.36328125" customWidth="1"/>
    <col min="2" max="2" width="12.90625" customWidth="1"/>
    <col min="3" max="3" width="8.90625" customWidth="1"/>
    <col min="4" max="4" width="7.453125" customWidth="1"/>
    <col min="5" max="5" width="7" customWidth="1"/>
    <col min="6" max="6" width="6.81640625" customWidth="1"/>
    <col min="7" max="7" width="7" customWidth="1"/>
    <col min="8" max="8" width="7.81640625" customWidth="1"/>
    <col min="9" max="9" width="10.81640625" customWidth="1"/>
    <col min="10" max="10" width="11.54296875" style="15" customWidth="1"/>
    <col min="11" max="11" width="14.453125" hidden="1" customWidth="1"/>
    <col min="12" max="12" width="12.08984375" hidden="1" customWidth="1"/>
    <col min="13" max="13" width="15" hidden="1" customWidth="1"/>
    <col min="14" max="15" width="13.81640625" hidden="1" customWidth="1"/>
    <col min="16" max="19" width="15" hidden="1" customWidth="1"/>
  </cols>
  <sheetData>
    <row r="1" spans="1:19" ht="15.65" customHeight="1" x14ac:dyDescent="0.35">
      <c r="A1" s="101" t="s">
        <v>48</v>
      </c>
      <c r="B1" s="101"/>
      <c r="C1" s="16"/>
      <c r="D1" s="16"/>
      <c r="E1" s="17"/>
      <c r="F1" s="17"/>
      <c r="G1" s="17"/>
      <c r="H1" s="18" t="s">
        <v>35</v>
      </c>
      <c r="I1" s="18"/>
      <c r="J1" s="18"/>
      <c r="K1" s="16"/>
      <c r="L1" s="16"/>
      <c r="M1" s="16"/>
      <c r="N1" s="16"/>
      <c r="O1" s="19"/>
      <c r="P1" s="19"/>
      <c r="Q1" s="19"/>
      <c r="R1" s="19"/>
      <c r="S1" s="19"/>
    </row>
    <row r="2" spans="1:19" ht="14.4" customHeight="1" x14ac:dyDescent="0.35">
      <c r="A2" s="101"/>
      <c r="B2" s="101"/>
      <c r="C2" s="16"/>
      <c r="D2" s="16"/>
      <c r="E2" s="16"/>
      <c r="F2" s="16"/>
      <c r="G2" s="16"/>
      <c r="H2" s="16"/>
      <c r="I2" s="16"/>
      <c r="J2" s="20"/>
      <c r="K2" s="16"/>
      <c r="L2" s="16"/>
      <c r="M2" s="16"/>
      <c r="N2" s="16"/>
      <c r="O2" s="19"/>
      <c r="P2" s="19"/>
      <c r="Q2" s="19"/>
      <c r="R2" s="19"/>
      <c r="S2" s="19"/>
    </row>
    <row r="3" spans="1:19" ht="14.4" customHeight="1" x14ac:dyDescent="0.35">
      <c r="A3" s="102" t="s">
        <v>37</v>
      </c>
      <c r="B3" s="102"/>
      <c r="C3" s="102"/>
      <c r="D3" s="102"/>
      <c r="E3" s="102"/>
      <c r="F3" s="102"/>
      <c r="G3" s="102"/>
      <c r="H3" s="102"/>
      <c r="I3" s="102"/>
      <c r="J3" s="102"/>
      <c r="K3" s="16"/>
      <c r="L3" s="16"/>
      <c r="M3" s="16"/>
      <c r="N3" s="16"/>
      <c r="O3" s="19"/>
      <c r="P3" s="19"/>
      <c r="Q3" s="19"/>
      <c r="R3" s="19"/>
      <c r="S3" s="19"/>
    </row>
    <row r="4" spans="1:19" ht="19.25" customHeight="1" thickBot="1" x14ac:dyDescent="0.4">
      <c r="A4" s="103"/>
      <c r="B4" s="103"/>
      <c r="C4" s="103"/>
      <c r="D4" s="103"/>
      <c r="E4" s="103"/>
      <c r="F4" s="103"/>
      <c r="G4" s="103"/>
      <c r="H4" s="103"/>
      <c r="I4" s="103"/>
      <c r="J4" s="103"/>
      <c r="K4" s="19"/>
      <c r="L4" s="19"/>
      <c r="M4" s="19"/>
      <c r="N4" s="19"/>
      <c r="O4" s="19"/>
      <c r="P4" s="19"/>
      <c r="Q4" s="19"/>
      <c r="R4" s="19"/>
      <c r="S4" s="19"/>
    </row>
    <row r="5" spans="1:19" ht="19.75" customHeight="1" x14ac:dyDescent="0.35">
      <c r="A5" s="95" t="s">
        <v>113</v>
      </c>
      <c r="B5" s="96">
        <f>'Janvier 18'!B5</f>
        <v>0</v>
      </c>
      <c r="C5" s="21" t="s">
        <v>36</v>
      </c>
      <c r="D5" s="104">
        <f>'Janvier 18'!D5:F5</f>
        <v>0</v>
      </c>
      <c r="E5" s="105"/>
      <c r="F5" s="105"/>
      <c r="G5" s="106" t="s">
        <v>22</v>
      </c>
      <c r="H5" s="106"/>
      <c r="I5" s="64" t="str">
        <f ca="1">MID(CELL("filename",A1),FIND("]",CELL("filename",A1))+1,99)</f>
        <v>Octobre 18</v>
      </c>
      <c r="J5" s="97"/>
      <c r="K5" s="19"/>
      <c r="L5" s="19"/>
      <c r="M5" s="19"/>
      <c r="N5" s="19"/>
      <c r="O5" s="19"/>
      <c r="P5" s="19"/>
      <c r="Q5" s="19"/>
      <c r="R5" s="19"/>
      <c r="S5" s="19"/>
    </row>
    <row r="6" spans="1:19" ht="9.65" customHeight="1" x14ac:dyDescent="0.35">
      <c r="A6" s="22"/>
      <c r="B6" s="23"/>
      <c r="C6" s="23"/>
      <c r="D6" s="23"/>
      <c r="E6" s="23"/>
      <c r="F6" s="23"/>
      <c r="G6" s="23"/>
      <c r="H6" s="23"/>
      <c r="I6" s="23"/>
      <c r="J6" s="24"/>
      <c r="K6" s="19"/>
      <c r="L6" s="19"/>
      <c r="M6" s="19"/>
      <c r="N6" s="19"/>
      <c r="O6" s="19"/>
      <c r="P6" s="19"/>
      <c r="Q6" s="19"/>
      <c r="R6" s="19"/>
      <c r="S6" s="19"/>
    </row>
    <row r="7" spans="1:19" ht="15" thickBot="1" x14ac:dyDescent="0.4">
      <c r="A7" s="59" t="s">
        <v>23</v>
      </c>
      <c r="B7" s="98">
        <f>'Janvier 18'!B7</f>
        <v>0</v>
      </c>
      <c r="C7" s="25" t="s">
        <v>24</v>
      </c>
      <c r="D7" s="25"/>
      <c r="E7" s="98">
        <f>'Janvier 18'!E7</f>
        <v>0</v>
      </c>
      <c r="F7" s="25"/>
      <c r="G7" s="25"/>
      <c r="H7" s="25"/>
      <c r="I7" s="25"/>
      <c r="J7" s="26"/>
      <c r="K7" s="19"/>
      <c r="L7" s="19"/>
      <c r="M7" s="19"/>
      <c r="N7" s="19"/>
      <c r="O7" s="19"/>
      <c r="P7" s="19"/>
      <c r="Q7" s="19"/>
      <c r="R7" s="19"/>
      <c r="S7" s="19"/>
    </row>
    <row r="8" spans="1:19" ht="9.65" customHeight="1" x14ac:dyDescent="0.35">
      <c r="A8" s="19"/>
      <c r="B8" s="19"/>
      <c r="C8" s="19"/>
      <c r="D8" s="19"/>
      <c r="E8" s="19"/>
      <c r="F8" s="19"/>
      <c r="G8" s="19"/>
      <c r="H8" s="19"/>
      <c r="I8" s="19"/>
      <c r="J8" s="20"/>
      <c r="K8" s="19"/>
      <c r="L8" s="19"/>
      <c r="M8" s="19"/>
      <c r="N8" s="19"/>
      <c r="O8" s="19"/>
      <c r="P8" s="19"/>
      <c r="Q8" s="19"/>
      <c r="R8" s="19"/>
      <c r="S8" s="19"/>
    </row>
    <row r="9" spans="1:19" ht="16.75" customHeight="1" x14ac:dyDescent="0.35">
      <c r="A9" s="111" t="s">
        <v>0</v>
      </c>
      <c r="B9" s="111" t="s">
        <v>1</v>
      </c>
      <c r="C9" s="111" t="s">
        <v>2</v>
      </c>
      <c r="D9" s="111"/>
      <c r="E9" s="110" t="s">
        <v>25</v>
      </c>
      <c r="F9" s="110"/>
      <c r="G9" s="110"/>
      <c r="H9" s="110"/>
      <c r="I9" s="112" t="s">
        <v>21</v>
      </c>
      <c r="J9" s="108" t="s">
        <v>65</v>
      </c>
      <c r="K9" s="19"/>
      <c r="L9" s="19"/>
      <c r="M9" s="19"/>
      <c r="N9" s="19"/>
      <c r="O9" s="19"/>
      <c r="P9" s="19"/>
      <c r="Q9" s="19"/>
      <c r="R9" s="19"/>
      <c r="S9" s="19"/>
    </row>
    <row r="10" spans="1:19" x14ac:dyDescent="0.35">
      <c r="A10" s="111"/>
      <c r="B10" s="111"/>
      <c r="C10" s="109" t="s">
        <v>3</v>
      </c>
      <c r="D10" s="109" t="s">
        <v>4</v>
      </c>
      <c r="E10" s="110" t="s">
        <v>26</v>
      </c>
      <c r="F10" s="110"/>
      <c r="G10" s="110" t="s">
        <v>27</v>
      </c>
      <c r="H10" s="110"/>
      <c r="I10" s="112"/>
      <c r="J10" s="108"/>
      <c r="K10" s="19"/>
      <c r="L10" s="19"/>
      <c r="M10" s="19"/>
      <c r="N10" s="19"/>
      <c r="O10" s="19"/>
      <c r="P10" s="19"/>
      <c r="Q10" s="19"/>
      <c r="R10" s="19"/>
      <c r="S10" s="19"/>
    </row>
    <row r="11" spans="1:19" x14ac:dyDescent="0.35">
      <c r="A11" s="111"/>
      <c r="B11" s="111"/>
      <c r="C11" s="109"/>
      <c r="D11" s="109"/>
      <c r="E11" s="72" t="s">
        <v>28</v>
      </c>
      <c r="F11" s="72" t="s">
        <v>4</v>
      </c>
      <c r="G11" s="72" t="s">
        <v>28</v>
      </c>
      <c r="H11" s="72" t="s">
        <v>4</v>
      </c>
      <c r="I11" s="112"/>
      <c r="J11" s="108"/>
      <c r="K11" s="27"/>
      <c r="L11" s="19"/>
      <c r="M11" s="19"/>
      <c r="N11" s="19"/>
      <c r="O11" s="19"/>
      <c r="P11" s="19"/>
      <c r="Q11" s="19"/>
      <c r="R11" s="19"/>
      <c r="S11" s="19"/>
    </row>
    <row r="12" spans="1:19" s="8" customFormat="1" ht="43.5" hidden="1" x14ac:dyDescent="0.35">
      <c r="A12" s="28" t="s">
        <v>0</v>
      </c>
      <c r="B12" s="29" t="s">
        <v>1</v>
      </c>
      <c r="C12" s="29" t="s">
        <v>3</v>
      </c>
      <c r="D12" s="29" t="s">
        <v>4</v>
      </c>
      <c r="E12" s="29" t="s">
        <v>8</v>
      </c>
      <c r="F12" s="29" t="s">
        <v>9</v>
      </c>
      <c r="G12" s="29" t="s">
        <v>10</v>
      </c>
      <c r="H12" s="29" t="s">
        <v>11</v>
      </c>
      <c r="I12" s="30" t="s">
        <v>21</v>
      </c>
      <c r="J12" s="29" t="s">
        <v>12</v>
      </c>
      <c r="K12" s="29" t="s">
        <v>18</v>
      </c>
      <c r="L12" s="29" t="s">
        <v>19</v>
      </c>
      <c r="M12" s="29" t="s">
        <v>17</v>
      </c>
      <c r="N12" s="29" t="s">
        <v>32</v>
      </c>
      <c r="O12" s="29" t="s">
        <v>20</v>
      </c>
      <c r="P12" s="29" t="s">
        <v>5</v>
      </c>
      <c r="Q12" s="29" t="s">
        <v>33</v>
      </c>
      <c r="R12" s="31" t="s">
        <v>6</v>
      </c>
      <c r="S12" s="31" t="s">
        <v>34</v>
      </c>
    </row>
    <row r="13" spans="1:19" x14ac:dyDescent="0.35">
      <c r="A13" s="5"/>
      <c r="B13" s="1"/>
      <c r="C13" s="2"/>
      <c r="D13" s="2"/>
      <c r="E13" s="3"/>
      <c r="F13" s="3"/>
      <c r="G13" s="3"/>
      <c r="H13" s="3"/>
      <c r="I13" s="32">
        <f>0.1*(Horaires35673413[[#This Row],[Heures de nuit]]+Horaires35673413[[#This Row],[heures jour dimanche]]+Horaires35673413[[#This Row],[heures jour fériés]])</f>
        <v>0</v>
      </c>
      <c r="J13" s="33">
        <f>(MOD(Horaires35673413[[#This Row],[Fin]]-Horaires35673413[[#This Row],[début]],1)-MOD(Horaires35673413[[#This Row],[PNP Fin]]-Horaires35673413[[#This Row],[PNP Début]],1))*24</f>
        <v>0</v>
      </c>
      <c r="K13" s="34">
        <f>IF(Horaires35673413[[#This Row],[PNP Début]]=0,0,IF(Horaires35673413[[#This Row],[PNP Début]]&lt;Horaires35673413[[#This Row],[début]],1,0)+Horaires35673413[[#This Row],[PNP Début]])</f>
        <v>0</v>
      </c>
      <c r="L13" s="34">
        <f>IF(Horaires35673413[[#This Row],[PNP Fin]]=0,0,IF(Horaires35673413[[#This Row],[PNP Fin]]&lt;Horaires35673413[[#This Row],[début]],1,0)+Horaires35673413[[#This Row],[PNP Fin]])</f>
        <v>0</v>
      </c>
      <c r="M13" s="34">
        <f>IF(Horaires35673413[[#This Row],[Fin]]&lt;Horaires35673413[[#This Row],[début]],1,0)+Horaires35673413[[#This Row],[Fin]]</f>
        <v>0</v>
      </c>
      <c r="N13" s="35">
        <f>IF(Horaires35673413[[#This Row],[Fin]]&lt;Horaires35673413[[#This Row],[début]],MAX(0,MIN(Horaires35673413[[#This Row],[Fin corrigée si nuit]],fin_nuit)-MAX(Horaires35673413[[#This Row],[début]],deb_nuit))*24,(MAX(deb_nuit,Horaires35673413[[#This Row],[Fin]])-MAX(deb_nuit,Horaires35673413[[#This Row],[début]])+MAX(MIN(fin_nuit-1,Horaires35673413[[#This Row],[Fin]])-MIN(fin_nuit-1,Horaires35673413[[#This Row],[début]]),0))*24)</f>
        <v>0</v>
      </c>
      <c r="O13" s="35">
        <f>(MAX(0,MIN(Horaires35673413[[#This Row],[Fin corrigée si nuit]],fin_nuit)-MAX(Horaires35673413[[#This Row],[début]],deb_nuit))-IF(Horaires35673413[[#This Row],[PNP Début]]=0,0,MIN(Horaires35673413[[#This Row],[PNP Fin corrigée]],fin_nuit)-MAX(Horaires35673413[[#This Row],[PNP Début corrigé]],deb_nuit)))*24</f>
        <v>0</v>
      </c>
      <c r="P13" s="35">
        <f>(IF(WEEKDAY(Horaires35673413[[#This Row],[Date]],2)=7,MAX(0,MIN(fin_dimJF,Horaires35673413[[#This Row],[Fin corrigée si nuit]])-MAX(deb_dimJF,Horaires35673413[[#This Row],[début]])),0)+IF(WEEKDAY(Horaires35673413[[#This Row],[Date]],2)=6,MAX(0,Horaires35673413[[#This Row],[Fin corrigée si nuit]]-(1+deb_dimJF)),0))*24</f>
        <v>0</v>
      </c>
      <c r="Q13" s="35">
        <f>(IF(WEEKDAY(Horaires35673413[[#This Row],[Date]],2)=7,MAX(0,MIN(fin_dimJF,Horaires35673413[[#This Row],[Fin corrigée si nuit]])-MAX(deb_dimJF,Horaires35673413[[#This Row],[début]])),0)+IF(WEEKDAY(Horaires35673413[[#This Row],[Date]],2)=6,MAX(0,Horaires35673413[[#This Row],[Fin corrigée si nuit]]-(1+deb_dimJF)),0))*24-
(IF(WEEKDAY(Horaires35673413[[#This Row],[Date]],2)=7,MAX(0,MIN(fin_dimJF,Horaires35673413[[#This Row],[PNP Fin corrigée]])-MAX(deb_dimJF,Horaires35673413[[#This Row],[PNP Début corrigé]])),0)+IF(WEEKDAY(Horaires35673413[[#This Row],[Date]],2)=6,MAX(0,Horaires35673413[[#This Row],[PNP Fin corrigée]]-(1+deb_dimJF)),0))*24</f>
        <v>0</v>
      </c>
      <c r="R13" s="36">
        <f>(IF(COUNTIF(JF,Horaires35673413[[#This Row],[Date]]),MAX(0,MIN(fin_dimJF,Horaires35673413[[#This Row],[Fin corrigée si nuit]])-MAX(deb_dimJF,Horaires35673413[[#This Row],[début]])),0)+IF(COUNTIF(JF,Horaires35673413[[#This Row],[Date]]+1),MAX(0,Horaires35673413[[#This Row],[Fin corrigée si nuit]]-(1+deb_dimJF)),0))*24</f>
        <v>0</v>
      </c>
      <c r="S13" s="36">
        <f>(IF(COUNTIF(JF,Horaires35673413[[#This Row],[Date]]),MAX(0,MIN(fin_dimJF,Horaires35673413[[#This Row],[Fin corrigée si nuit]])-MAX(deb_dimJF,Horaires35673413[[#This Row],[début]])),0)+IF(COUNTIF(JF,Horaires35673413[[#This Row],[Date]]+1),MAX(0,Horaires35673413[[#This Row],[Fin corrigée si nuit]]-(1+deb_dimJF)),0))*24-
(IF(COUNTIF(JF,Horaires35673413[[#This Row],[Date]]),MAX(0,MIN(fin_dimJF,Horaires35673413[[#This Row],[PNP Fin corrigée]])-MAX(deb_dimJF,Horaires35673413[[#This Row],[PNP Début corrigé]])),0)+IF(COUNTIF(JF,Horaires35673413[[#This Row],[Date]]+1),MAX(0,Horaires35673413[[#This Row],[PNP Fin corrigée]]-(1+deb_dimJF)),0))*24</f>
        <v>0</v>
      </c>
    </row>
    <row r="14" spans="1:19" x14ac:dyDescent="0.35">
      <c r="A14" s="5"/>
      <c r="B14" s="1"/>
      <c r="C14" s="2"/>
      <c r="D14" s="2"/>
      <c r="E14" s="3"/>
      <c r="F14" s="3"/>
      <c r="G14" s="3"/>
      <c r="H14" s="3"/>
      <c r="I14" s="32">
        <f>0.1*(Horaires35673413[[#This Row],[Heures de nuit]]+Horaires35673413[[#This Row],[heures jour dimanche]]+Horaires35673413[[#This Row],[heures jour fériés]])</f>
        <v>0</v>
      </c>
      <c r="J14" s="33">
        <f>(MOD(Horaires35673413[[#This Row],[Fin]]-Horaires35673413[[#This Row],[début]],1)-MOD(Horaires35673413[[#This Row],[PNP Fin]]-Horaires35673413[[#This Row],[PNP Début]],1))*24</f>
        <v>0</v>
      </c>
      <c r="K14" s="34">
        <f>IF(Horaires35673413[[#This Row],[PNP Début]]=0,0,IF(Horaires35673413[[#This Row],[PNP Début]]&lt;Horaires35673413[[#This Row],[début]],1,0)+Horaires35673413[[#This Row],[PNP Début]])</f>
        <v>0</v>
      </c>
      <c r="L14" s="34">
        <f>IF(Horaires35673413[[#This Row],[PNP Fin]]=0,0,IF(Horaires35673413[[#This Row],[PNP Fin]]&lt;Horaires35673413[[#This Row],[début]],1,0)+Horaires35673413[[#This Row],[PNP Fin]])</f>
        <v>0</v>
      </c>
      <c r="M14" s="34">
        <f>IF(Horaires35673413[[#This Row],[Fin]]&lt;Horaires35673413[[#This Row],[début]],1,0)+Horaires35673413[[#This Row],[Fin]]</f>
        <v>0</v>
      </c>
      <c r="N14" s="35">
        <f>IF(Horaires35673413[[#This Row],[Fin]]&lt;Horaires35673413[[#This Row],[début]],MAX(0,MIN(Horaires35673413[[#This Row],[Fin corrigée si nuit]],fin_nuit)-MAX(Horaires35673413[[#This Row],[début]],deb_nuit))*24,(MAX(deb_nuit,Horaires35673413[[#This Row],[Fin]])-MAX(deb_nuit,Horaires35673413[[#This Row],[début]])+MAX(MIN(fin_nuit-1,Horaires35673413[[#This Row],[Fin]])-MIN(fin_nuit-1,Horaires35673413[[#This Row],[début]]),0))*24)</f>
        <v>0</v>
      </c>
      <c r="O14" s="35">
        <f>(MAX(0,MIN(Horaires35673413[[#This Row],[Fin corrigée si nuit]],fin_nuit)-MAX(Horaires35673413[[#This Row],[début]],deb_nuit))-IF(Horaires35673413[[#This Row],[PNP Début]]=0,0,MIN(Horaires35673413[[#This Row],[PNP Fin corrigée]],fin_nuit)-MAX(Horaires35673413[[#This Row],[PNP Début corrigé]],deb_nuit)))*24</f>
        <v>0</v>
      </c>
      <c r="P14" s="35">
        <f>(IF(WEEKDAY(Horaires35673413[[#This Row],[Date]],2)=7,MAX(0,MIN(fin_dimJF,Horaires35673413[[#This Row],[Fin corrigée si nuit]])-MAX(deb_dimJF,Horaires35673413[[#This Row],[début]])),0)+IF(WEEKDAY(Horaires35673413[[#This Row],[Date]],2)=6,MAX(0,Horaires35673413[[#This Row],[Fin corrigée si nuit]]-(1+deb_dimJF)),0))*24</f>
        <v>0</v>
      </c>
      <c r="Q14" s="35">
        <f>(IF(WEEKDAY(Horaires35673413[[#This Row],[Date]],2)=7,MAX(0,MIN(fin_dimJF,Horaires35673413[[#This Row],[Fin corrigée si nuit]])-MAX(deb_dimJF,Horaires35673413[[#This Row],[début]])),0)+IF(WEEKDAY(Horaires35673413[[#This Row],[Date]],2)=6,MAX(0,Horaires35673413[[#This Row],[Fin corrigée si nuit]]-(1+deb_dimJF)),0))*24-
(IF(WEEKDAY(Horaires35673413[[#This Row],[Date]],2)=7,MAX(0,MIN(fin_dimJF,Horaires35673413[[#This Row],[PNP Fin corrigée]])-MAX(deb_dimJF,Horaires35673413[[#This Row],[PNP Début corrigé]])),0)+IF(WEEKDAY(Horaires35673413[[#This Row],[Date]],2)=6,MAX(0,Horaires35673413[[#This Row],[PNP Fin corrigée]]-(1+deb_dimJF)),0))*24</f>
        <v>0</v>
      </c>
      <c r="R14" s="36">
        <f>(IF(COUNTIF(JF,Horaires35673413[[#This Row],[Date]]),MAX(0,MIN(fin_dimJF,Horaires35673413[[#This Row],[Fin corrigée si nuit]])-MAX(deb_dimJF,Horaires35673413[[#This Row],[début]])),0)+IF(COUNTIF(JF,Horaires35673413[[#This Row],[Date]]+1),MAX(0,Horaires35673413[[#This Row],[Fin corrigée si nuit]]-(1+deb_dimJF)),0))*24</f>
        <v>0</v>
      </c>
      <c r="S14" s="36">
        <f>(IF(COUNTIF(JF,Horaires35673413[[#This Row],[Date]]),MAX(0,MIN(fin_dimJF,Horaires35673413[[#This Row],[Fin corrigée si nuit]])-MAX(deb_dimJF,Horaires35673413[[#This Row],[début]])),0)+IF(COUNTIF(JF,Horaires35673413[[#This Row],[Date]]+1),MAX(0,Horaires35673413[[#This Row],[Fin corrigée si nuit]]-(1+deb_dimJF)),0))*24-
(IF(COUNTIF(JF,Horaires35673413[[#This Row],[Date]]),MAX(0,MIN(fin_dimJF,Horaires35673413[[#This Row],[PNP Fin corrigée]])-MAX(deb_dimJF,Horaires35673413[[#This Row],[PNP Début corrigé]])),0)+IF(COUNTIF(JF,Horaires35673413[[#This Row],[Date]]+1),MAX(0,Horaires35673413[[#This Row],[PNP Fin corrigée]]-(1+deb_dimJF)),0))*24</f>
        <v>0</v>
      </c>
    </row>
    <row r="15" spans="1:19" x14ac:dyDescent="0.35">
      <c r="A15" s="5"/>
      <c r="B15" s="1"/>
      <c r="C15" s="2"/>
      <c r="D15" s="2"/>
      <c r="E15" s="3"/>
      <c r="F15" s="3"/>
      <c r="G15" s="3"/>
      <c r="H15" s="3"/>
      <c r="I15" s="32">
        <f>0.1*(Horaires35673413[[#This Row],[Heures de nuit]]+Horaires35673413[[#This Row],[heures jour dimanche]]+Horaires35673413[[#This Row],[heures jour fériés]])</f>
        <v>0</v>
      </c>
      <c r="J15" s="33">
        <f>(MOD(Horaires35673413[[#This Row],[Fin]]-Horaires35673413[[#This Row],[début]],1)-MOD(Horaires35673413[[#This Row],[PNP Fin]]-Horaires35673413[[#This Row],[PNP Début]],1))*24</f>
        <v>0</v>
      </c>
      <c r="K15" s="34">
        <f>IF(Horaires35673413[[#This Row],[PNP Début]]=0,0,IF(Horaires35673413[[#This Row],[PNP Début]]&lt;Horaires35673413[[#This Row],[début]],1,0)+Horaires35673413[[#This Row],[PNP Début]])</f>
        <v>0</v>
      </c>
      <c r="L15" s="34">
        <f>IF(Horaires35673413[[#This Row],[PNP Fin]]=0,0,IF(Horaires35673413[[#This Row],[PNP Fin]]&lt;Horaires35673413[[#This Row],[début]],1,0)+Horaires35673413[[#This Row],[PNP Fin]])</f>
        <v>0</v>
      </c>
      <c r="M15" s="34">
        <f>IF(Horaires35673413[[#This Row],[Fin]]&lt;Horaires35673413[[#This Row],[début]],1,0)+Horaires35673413[[#This Row],[Fin]]</f>
        <v>0</v>
      </c>
      <c r="N15" s="35">
        <f>IF(Horaires35673413[[#This Row],[Fin]]&lt;Horaires35673413[[#This Row],[début]],MAX(0,MIN(Horaires35673413[[#This Row],[Fin corrigée si nuit]],fin_nuit)-MAX(Horaires35673413[[#This Row],[début]],deb_nuit))*24,(MAX(deb_nuit,Horaires35673413[[#This Row],[Fin]])-MAX(deb_nuit,Horaires35673413[[#This Row],[début]])+MAX(MIN(fin_nuit-1,Horaires35673413[[#This Row],[Fin]])-MIN(fin_nuit-1,Horaires35673413[[#This Row],[début]]),0))*24)</f>
        <v>0</v>
      </c>
      <c r="O15" s="35">
        <f>(MAX(0,MIN(Horaires35673413[[#This Row],[Fin corrigée si nuit]],fin_nuit)-MAX(Horaires35673413[[#This Row],[début]],deb_nuit))-IF(Horaires35673413[[#This Row],[PNP Début]]=0,0,MIN(Horaires35673413[[#This Row],[PNP Fin corrigée]],fin_nuit)-MAX(Horaires35673413[[#This Row],[PNP Début corrigé]],deb_nuit)))*24</f>
        <v>0</v>
      </c>
      <c r="P15" s="35">
        <f>(IF(WEEKDAY(Horaires35673413[[#This Row],[Date]],2)=7,MAX(0,MIN(fin_dimJF,Horaires35673413[[#This Row],[Fin corrigée si nuit]])-MAX(deb_dimJF,Horaires35673413[[#This Row],[début]])),0)+IF(WEEKDAY(Horaires35673413[[#This Row],[Date]],2)=6,MAX(0,Horaires35673413[[#This Row],[Fin corrigée si nuit]]-(1+deb_dimJF)),0))*24</f>
        <v>0</v>
      </c>
      <c r="Q15" s="35">
        <f>(IF(WEEKDAY(Horaires35673413[[#This Row],[Date]],2)=7,MAX(0,MIN(fin_dimJF,Horaires35673413[[#This Row],[Fin corrigée si nuit]])-MAX(deb_dimJF,Horaires35673413[[#This Row],[début]])),0)+IF(WEEKDAY(Horaires35673413[[#This Row],[Date]],2)=6,MAX(0,Horaires35673413[[#This Row],[Fin corrigée si nuit]]-(1+deb_dimJF)),0))*24-
(IF(WEEKDAY(Horaires35673413[[#This Row],[Date]],2)=7,MAX(0,MIN(fin_dimJF,Horaires35673413[[#This Row],[PNP Fin corrigée]])-MAX(deb_dimJF,Horaires35673413[[#This Row],[PNP Début corrigé]])),0)+IF(WEEKDAY(Horaires35673413[[#This Row],[Date]],2)=6,MAX(0,Horaires35673413[[#This Row],[PNP Fin corrigée]]-(1+deb_dimJF)),0))*24</f>
        <v>0</v>
      </c>
      <c r="R15" s="36">
        <f>(IF(COUNTIF(JF,Horaires35673413[[#This Row],[Date]]),MAX(0,MIN(fin_dimJF,Horaires35673413[[#This Row],[Fin corrigée si nuit]])-MAX(deb_dimJF,Horaires35673413[[#This Row],[début]])),0)+IF(COUNTIF(JF,Horaires35673413[[#This Row],[Date]]+1),MAX(0,Horaires35673413[[#This Row],[Fin corrigée si nuit]]-(1+deb_dimJF)),0))*24</f>
        <v>0</v>
      </c>
      <c r="S15" s="36">
        <f>(IF(COUNTIF(JF,Horaires35673413[[#This Row],[Date]]),MAX(0,MIN(fin_dimJF,Horaires35673413[[#This Row],[Fin corrigée si nuit]])-MAX(deb_dimJF,Horaires35673413[[#This Row],[début]])),0)+IF(COUNTIF(JF,Horaires35673413[[#This Row],[Date]]+1),MAX(0,Horaires35673413[[#This Row],[Fin corrigée si nuit]]-(1+deb_dimJF)),0))*24-
(IF(COUNTIF(JF,Horaires35673413[[#This Row],[Date]]),MAX(0,MIN(fin_dimJF,Horaires35673413[[#This Row],[PNP Fin corrigée]])-MAX(deb_dimJF,Horaires35673413[[#This Row],[PNP Début corrigé]])),0)+IF(COUNTIF(JF,Horaires35673413[[#This Row],[Date]]+1),MAX(0,Horaires35673413[[#This Row],[PNP Fin corrigée]]-(1+deb_dimJF)),0))*24</f>
        <v>0</v>
      </c>
    </row>
    <row r="16" spans="1:19" x14ac:dyDescent="0.35">
      <c r="A16" s="5"/>
      <c r="B16" s="6"/>
      <c r="C16" s="2"/>
      <c r="D16" s="2"/>
      <c r="E16" s="3"/>
      <c r="F16" s="3"/>
      <c r="G16" s="7"/>
      <c r="H16" s="7"/>
      <c r="I16" s="32">
        <f>0.1*(Horaires35673413[[#This Row],[Heures de nuit]]+Horaires35673413[[#This Row],[heures jour dimanche]]+Horaires35673413[[#This Row],[heures jour fériés]])</f>
        <v>0</v>
      </c>
      <c r="J16" s="37">
        <f>(MOD(Horaires35673413[[#This Row],[Fin]]-Horaires35673413[[#This Row],[début]],1)-MOD(Horaires35673413[[#This Row],[PNP Fin]]-Horaires35673413[[#This Row],[PNP Début]],1))*24</f>
        <v>0</v>
      </c>
      <c r="K16" s="34">
        <f>IF(Horaires35673413[[#This Row],[PNP Début]]=0,0,IF(Horaires35673413[[#This Row],[PNP Début]]&lt;Horaires35673413[[#This Row],[début]],1,0)+Horaires35673413[[#This Row],[PNP Début]])</f>
        <v>0</v>
      </c>
      <c r="L16" s="34">
        <f>IF(Horaires35673413[[#This Row],[PNP Fin]]=0,0,IF(Horaires35673413[[#This Row],[PNP Fin]]&lt;Horaires35673413[[#This Row],[début]],1,0)+Horaires35673413[[#This Row],[PNP Fin]])</f>
        <v>0</v>
      </c>
      <c r="M16" s="38">
        <f>IF(Horaires35673413[[#This Row],[Fin]]&lt;Horaires35673413[[#This Row],[début]],1,0)+Horaires35673413[[#This Row],[Fin]]</f>
        <v>0</v>
      </c>
      <c r="N16" s="35">
        <f>IF(Horaires35673413[[#This Row],[Fin]]&lt;Horaires35673413[[#This Row],[début]],MAX(0,MIN(Horaires35673413[[#This Row],[Fin corrigée si nuit]],fin_nuit)-MAX(Horaires35673413[[#This Row],[début]],deb_nuit))*24,(MAX(deb_nuit,Horaires35673413[[#This Row],[Fin]])-MAX(deb_nuit,Horaires35673413[[#This Row],[début]])+MAX(MIN(fin_nuit-1,Horaires35673413[[#This Row],[Fin]])-MIN(fin_nuit-1,Horaires35673413[[#This Row],[début]]),0))*24)</f>
        <v>0</v>
      </c>
      <c r="O16" s="39">
        <f>(MAX(0,MIN(Horaires35673413[[#This Row],[Fin corrigée si nuit]],fin_nuit)-MAX(Horaires35673413[[#This Row],[début]],deb_nuit))-IF(Horaires35673413[[#This Row],[PNP Début]]=0,0,MIN(Horaires35673413[[#This Row],[PNP Fin corrigée]],fin_nuit)-MAX(Horaires35673413[[#This Row],[PNP Début corrigé]],deb_nuit)))*24</f>
        <v>0</v>
      </c>
      <c r="P16" s="39">
        <f>(IF(WEEKDAY(Horaires35673413[[#This Row],[Date]],2)=7,MAX(0,MIN(fin_dimJF,Horaires35673413[[#This Row],[Fin corrigée si nuit]])-MAX(deb_dimJF,Horaires35673413[[#This Row],[début]])),0)+IF(WEEKDAY(Horaires35673413[[#This Row],[Date]],2)=6,MAX(0,Horaires35673413[[#This Row],[Fin corrigée si nuit]]-(1+deb_dimJF)),0))*24</f>
        <v>0</v>
      </c>
      <c r="Q16" s="35">
        <f>(IF(WEEKDAY(Horaires35673413[[#This Row],[Date]],2)=7,MAX(0,MIN(fin_dimJF,Horaires35673413[[#This Row],[Fin corrigée si nuit]])-MAX(deb_dimJF,Horaires35673413[[#This Row],[début]])),0)+IF(WEEKDAY(Horaires35673413[[#This Row],[Date]],2)=6,MAX(0,Horaires35673413[[#This Row],[Fin corrigée si nuit]]-(1+deb_dimJF)),0))*24-
(IF(WEEKDAY(Horaires35673413[[#This Row],[Date]],2)=7,MAX(0,MIN(fin_dimJF,Horaires35673413[[#This Row],[PNP Fin corrigée]])-MAX(deb_dimJF,Horaires35673413[[#This Row],[PNP Début corrigé]])),0)+IF(WEEKDAY(Horaires35673413[[#This Row],[Date]],2)=6,MAX(0,Horaires35673413[[#This Row],[PNP Fin corrigée]]-(1+deb_dimJF)),0))*24</f>
        <v>0</v>
      </c>
      <c r="R16" s="40">
        <f>(IF(COUNTIF(JF,Horaires35673413[[#This Row],[Date]]),MAX(0,MIN(fin_dimJF,Horaires35673413[[#This Row],[Fin corrigée si nuit]])-MAX(deb_dimJF,Horaires35673413[[#This Row],[début]])),0)+IF(COUNTIF(JF,Horaires35673413[[#This Row],[Date]]+1),MAX(0,Horaires35673413[[#This Row],[Fin corrigée si nuit]]-(1+deb_dimJF)),0))*24</f>
        <v>0</v>
      </c>
      <c r="S16" s="40">
        <f>(IF(COUNTIF(JF,Horaires35673413[[#This Row],[Date]]),MAX(0,MIN(fin_dimJF,Horaires35673413[[#This Row],[Fin corrigée si nuit]])-MAX(deb_dimJF,Horaires35673413[[#This Row],[début]])),0)+IF(COUNTIF(JF,Horaires35673413[[#This Row],[Date]]+1),MAX(0,Horaires35673413[[#This Row],[Fin corrigée si nuit]]-(1+deb_dimJF)),0))*24-
(IF(COUNTIF(JF,Horaires35673413[[#This Row],[Date]]),MAX(0,MIN(fin_dimJF,Horaires35673413[[#This Row],[PNP Fin corrigée]])-MAX(deb_dimJF,Horaires35673413[[#This Row],[PNP Début corrigé]])),0)+IF(COUNTIF(JF,Horaires35673413[[#This Row],[Date]]+1),MAX(0,Horaires35673413[[#This Row],[PNP Fin corrigée]]-(1+deb_dimJF)),0))*24</f>
        <v>0</v>
      </c>
    </row>
    <row r="17" spans="1:19" x14ac:dyDescent="0.35">
      <c r="A17" s="5"/>
      <c r="B17" s="1"/>
      <c r="C17" s="2"/>
      <c r="D17" s="2"/>
      <c r="E17" s="3"/>
      <c r="F17" s="3"/>
      <c r="G17" s="12"/>
      <c r="H17" s="12"/>
      <c r="I17" s="41">
        <f>0.1*(Horaires35673413[[#This Row],[Heures de nuit]]+Horaires35673413[[#This Row],[heures jour dimanche]]+Horaires35673413[[#This Row],[heures jour fériés]])</f>
        <v>0</v>
      </c>
      <c r="J17" s="42">
        <f>(MOD(Horaires35673413[[#This Row],[Fin]]-Horaires35673413[[#This Row],[début]],1)-MOD(Horaires35673413[[#This Row],[PNP Fin]]-Horaires35673413[[#This Row],[PNP Début]],1))*24</f>
        <v>0</v>
      </c>
      <c r="K17" s="43">
        <f>IF(Horaires35673413[[#This Row],[PNP Début]]=0,0,IF(Horaires35673413[[#This Row],[PNP Début]]&lt;Horaires35673413[[#This Row],[début]],1,0)+Horaires35673413[[#This Row],[PNP Début]])</f>
        <v>0</v>
      </c>
      <c r="L17" s="44">
        <f>IF(Horaires35673413[[#This Row],[PNP Fin]]=0,0,IF(Horaires35673413[[#This Row],[PNP Fin]]&lt;Horaires35673413[[#This Row],[début]],1,0)+Horaires35673413[[#This Row],[PNP Fin]])</f>
        <v>0</v>
      </c>
      <c r="M17" s="44">
        <f>IF(Horaires35673413[[#This Row],[Fin]]&lt;Horaires35673413[[#This Row],[début]],1,0)+Horaires35673413[[#This Row],[Fin]]</f>
        <v>0</v>
      </c>
      <c r="N17" s="35">
        <f>IF(Horaires35673413[[#This Row],[Fin]]&lt;Horaires35673413[[#This Row],[début]],MAX(0,MIN(Horaires35673413[[#This Row],[Fin corrigée si nuit]],fin_nuit)-MAX(Horaires35673413[[#This Row],[début]],deb_nuit))*24,(MAX(deb_nuit,Horaires35673413[[#This Row],[Fin]])-MAX(deb_nuit,Horaires35673413[[#This Row],[début]])+MAX(MIN(fin_nuit-1,Horaires35673413[[#This Row],[Fin]])-MIN(fin_nuit-1,Horaires35673413[[#This Row],[début]]),0))*24)</f>
        <v>0</v>
      </c>
      <c r="O17" s="45">
        <f>(MAX(0,MIN(Horaires35673413[[#This Row],[Fin corrigée si nuit]],fin_nuit)-MAX(Horaires35673413[[#This Row],[début]],deb_nuit))-IF(Horaires35673413[[#This Row],[PNP Début]]=0,0,MIN(Horaires35673413[[#This Row],[PNP Fin corrigée]],fin_nuit)-MAX(Horaires35673413[[#This Row],[PNP Début corrigé]],deb_nuit)))*24</f>
        <v>0</v>
      </c>
      <c r="P17" s="45">
        <f>(IF(WEEKDAY(Horaires35673413[[#This Row],[Date]],2)=7,MAX(0,MIN(fin_dimJF,Horaires35673413[[#This Row],[Fin corrigée si nuit]])-MAX(deb_dimJF,Horaires35673413[[#This Row],[début]])),0)+IF(WEEKDAY(Horaires35673413[[#This Row],[Date]],2)=6,MAX(0,Horaires35673413[[#This Row],[Fin corrigée si nuit]]-(1+deb_dimJF)),0))*24</f>
        <v>0</v>
      </c>
      <c r="Q17" s="45">
        <f>(IF(WEEKDAY(Horaires35673413[[#This Row],[Date]],2)=7,MAX(0,MIN(fin_dimJF,Horaires35673413[[#This Row],[Fin corrigée si nuit]])-MAX(deb_dimJF,Horaires35673413[[#This Row],[début]])),0)+IF(WEEKDAY(Horaires35673413[[#This Row],[Date]],2)=6,MAX(0,Horaires35673413[[#This Row],[Fin corrigée si nuit]]-(1+deb_dimJF)),0))*24-
(IF(WEEKDAY(Horaires35673413[[#This Row],[Date]],2)=7,MAX(0,MIN(fin_dimJF,Horaires35673413[[#This Row],[PNP Fin corrigée]])-MAX(deb_dimJF,Horaires35673413[[#This Row],[PNP Début corrigé]])),0)+IF(WEEKDAY(Horaires35673413[[#This Row],[Date]],2)=6,MAX(0,Horaires35673413[[#This Row],[PNP Fin corrigée]]-(1+deb_dimJF)),0))*24</f>
        <v>0</v>
      </c>
      <c r="R17" s="45">
        <f>(IF(COUNTIF(JF,Horaires35673413[[#This Row],[Date]]),MAX(0,MIN(fin_dimJF,Horaires35673413[[#This Row],[Fin corrigée si nuit]])-MAX(deb_dimJF,Horaires35673413[[#This Row],[début]])),0)+IF(COUNTIF(JF,Horaires35673413[[#This Row],[Date]]+1),MAX(0,Horaires35673413[[#This Row],[Fin corrigée si nuit]]-(1+deb_dimJF)),0))*24</f>
        <v>0</v>
      </c>
      <c r="S17" s="45">
        <f>(IF(COUNTIF(JF,Horaires35673413[[#This Row],[Date]]),MAX(0,MIN(fin_dimJF,Horaires35673413[[#This Row],[Fin corrigée si nuit]])-MAX(deb_dimJF,Horaires35673413[[#This Row],[début]])),0)+IF(COUNTIF(JF,Horaires35673413[[#This Row],[Date]]+1),MAX(0,Horaires35673413[[#This Row],[Fin corrigée si nuit]]-(1+deb_dimJF)),0))*24-
(IF(COUNTIF(JF,Horaires35673413[[#This Row],[Date]]),MAX(0,MIN(fin_dimJF,Horaires35673413[[#This Row],[PNP Fin corrigée]])-MAX(deb_dimJF,Horaires35673413[[#This Row],[PNP Début corrigé]])),0)+IF(COUNTIF(JF,Horaires35673413[[#This Row],[Date]]+1),MAX(0,Horaires35673413[[#This Row],[PNP Fin corrigée]]-(1+deb_dimJF)),0))*24</f>
        <v>0</v>
      </c>
    </row>
    <row r="18" spans="1:19" x14ac:dyDescent="0.35">
      <c r="A18" s="5"/>
      <c r="B18" s="60"/>
      <c r="C18" s="11"/>
      <c r="D18" s="11"/>
      <c r="E18" s="12"/>
      <c r="F18" s="12"/>
      <c r="G18" s="12"/>
      <c r="H18" s="12"/>
      <c r="I18" s="41">
        <f>0.1*(Horaires35673413[[#This Row],[Heures de nuit]]+Horaires35673413[[#This Row],[heures jour dimanche]]+Horaires35673413[[#This Row],[heures jour fériés]])</f>
        <v>0</v>
      </c>
      <c r="J18" s="42">
        <f>(MOD(Horaires35673413[[#This Row],[Fin]]-Horaires35673413[[#This Row],[début]],1)-MOD(Horaires35673413[[#This Row],[PNP Fin]]-Horaires35673413[[#This Row],[PNP Début]],1))*24</f>
        <v>0</v>
      </c>
      <c r="K18" s="43">
        <f>IF(Horaires35673413[[#This Row],[PNP Début]]=0,0,IF(Horaires35673413[[#This Row],[PNP Début]]&lt;Horaires35673413[[#This Row],[début]],1,0)+Horaires35673413[[#This Row],[PNP Début]])</f>
        <v>0</v>
      </c>
      <c r="L18" s="44">
        <f>IF(Horaires35673413[[#This Row],[PNP Fin]]=0,0,IF(Horaires35673413[[#This Row],[PNP Fin]]&lt;Horaires35673413[[#This Row],[début]],1,0)+Horaires35673413[[#This Row],[PNP Fin]])</f>
        <v>0</v>
      </c>
      <c r="M18" s="44">
        <f>IF(Horaires35673413[[#This Row],[Fin]]&lt;Horaires35673413[[#This Row],[début]],1,0)+Horaires35673413[[#This Row],[Fin]]</f>
        <v>0</v>
      </c>
      <c r="N18" s="35">
        <f>IF(Horaires35673413[[#This Row],[Fin]]&lt;Horaires35673413[[#This Row],[début]],MAX(0,MIN(Horaires35673413[[#This Row],[Fin corrigée si nuit]],fin_nuit)-MAX(Horaires35673413[[#This Row],[début]],deb_nuit))*24,(MAX(deb_nuit,Horaires35673413[[#This Row],[Fin]])-MAX(deb_nuit,Horaires35673413[[#This Row],[début]])+MAX(MIN(fin_nuit-1,Horaires35673413[[#This Row],[Fin]])-MIN(fin_nuit-1,Horaires35673413[[#This Row],[début]]),0))*24)</f>
        <v>0</v>
      </c>
      <c r="O18" s="45">
        <f>(MAX(0,MIN(Horaires35673413[[#This Row],[Fin corrigée si nuit]],fin_nuit)-MAX(Horaires35673413[[#This Row],[début]],deb_nuit))-IF(Horaires35673413[[#This Row],[PNP Début]]=0,0,MIN(Horaires35673413[[#This Row],[PNP Fin corrigée]],fin_nuit)-MAX(Horaires35673413[[#This Row],[PNP Début corrigé]],deb_nuit)))*24</f>
        <v>0</v>
      </c>
      <c r="P18" s="45">
        <f>(IF(WEEKDAY(Horaires35673413[[#This Row],[Date]],2)=7,MAX(0,MIN(fin_dimJF,Horaires35673413[[#This Row],[Fin corrigée si nuit]])-MAX(deb_dimJF,Horaires35673413[[#This Row],[début]])),0)+IF(WEEKDAY(Horaires35673413[[#This Row],[Date]],2)=6,MAX(0,Horaires35673413[[#This Row],[Fin corrigée si nuit]]-(1+deb_dimJF)),0))*24</f>
        <v>0</v>
      </c>
      <c r="Q18" s="45">
        <f>(IF(WEEKDAY(Horaires35673413[[#This Row],[Date]],2)=7,MAX(0,MIN(fin_dimJF,Horaires35673413[[#This Row],[Fin corrigée si nuit]])-MAX(deb_dimJF,Horaires35673413[[#This Row],[début]])),0)+IF(WEEKDAY(Horaires35673413[[#This Row],[Date]],2)=6,MAX(0,Horaires35673413[[#This Row],[Fin corrigée si nuit]]-(1+deb_dimJF)),0))*24-
(IF(WEEKDAY(Horaires35673413[[#This Row],[Date]],2)=7,MAX(0,MIN(fin_dimJF,Horaires35673413[[#This Row],[PNP Fin corrigée]])-MAX(deb_dimJF,Horaires35673413[[#This Row],[PNP Début corrigé]])),0)+IF(WEEKDAY(Horaires35673413[[#This Row],[Date]],2)=6,MAX(0,Horaires35673413[[#This Row],[PNP Fin corrigée]]-(1+deb_dimJF)),0))*24</f>
        <v>0</v>
      </c>
      <c r="R18" s="45">
        <f>(IF(COUNTIF(JF,Horaires35673413[[#This Row],[Date]]),MAX(0,MIN(fin_dimJF,Horaires35673413[[#This Row],[Fin corrigée si nuit]])-MAX(deb_dimJF,Horaires35673413[[#This Row],[début]])),0)+IF(COUNTIF(JF,Horaires35673413[[#This Row],[Date]]+1),MAX(0,Horaires35673413[[#This Row],[Fin corrigée si nuit]]-(1+deb_dimJF)),0))*24</f>
        <v>0</v>
      </c>
      <c r="S18" s="45">
        <f>(IF(COUNTIF(JF,Horaires35673413[[#This Row],[Date]]),MAX(0,MIN(fin_dimJF,Horaires35673413[[#This Row],[Fin corrigée si nuit]])-MAX(deb_dimJF,Horaires35673413[[#This Row],[début]])),0)+IF(COUNTIF(JF,Horaires35673413[[#This Row],[Date]]+1),MAX(0,Horaires35673413[[#This Row],[Fin corrigée si nuit]]-(1+deb_dimJF)),0))*24-
(IF(COUNTIF(JF,Horaires35673413[[#This Row],[Date]]),MAX(0,MIN(fin_dimJF,Horaires35673413[[#This Row],[PNP Fin corrigée]])-MAX(deb_dimJF,Horaires35673413[[#This Row],[PNP Début corrigé]])),0)+IF(COUNTIF(JF,Horaires35673413[[#This Row],[Date]]+1),MAX(0,Horaires35673413[[#This Row],[PNP Fin corrigée]]-(1+deb_dimJF)),0))*24</f>
        <v>0</v>
      </c>
    </row>
    <row r="19" spans="1:19" x14ac:dyDescent="0.35">
      <c r="A19" s="5"/>
      <c r="B19" s="1"/>
      <c r="C19" s="11"/>
      <c r="D19" s="11"/>
      <c r="E19" s="3"/>
      <c r="F19" s="3"/>
      <c r="G19" s="12"/>
      <c r="H19" s="12"/>
      <c r="I19" s="41">
        <f>0.1*(Horaires35673413[[#This Row],[Heures de nuit]]+Horaires35673413[[#This Row],[heures jour dimanche]]+Horaires35673413[[#This Row],[heures jour fériés]])</f>
        <v>0</v>
      </c>
      <c r="J19" s="42">
        <f>(MOD(Horaires35673413[[#This Row],[Fin]]-Horaires35673413[[#This Row],[début]],1)-MOD(Horaires35673413[[#This Row],[PNP Fin]]-Horaires35673413[[#This Row],[PNP Début]],1))*24</f>
        <v>0</v>
      </c>
      <c r="K19" s="43">
        <f>IF(Horaires35673413[[#This Row],[PNP Début]]=0,0,IF(Horaires35673413[[#This Row],[PNP Début]]&lt;Horaires35673413[[#This Row],[début]],1,0)+Horaires35673413[[#This Row],[PNP Début]])</f>
        <v>0</v>
      </c>
      <c r="L19" s="44">
        <f>IF(Horaires35673413[[#This Row],[PNP Fin]]=0,0,IF(Horaires35673413[[#This Row],[PNP Fin]]&lt;Horaires35673413[[#This Row],[début]],1,0)+Horaires35673413[[#This Row],[PNP Fin]])</f>
        <v>0</v>
      </c>
      <c r="M19" s="44">
        <f>IF(Horaires35673413[[#This Row],[Fin]]&lt;Horaires35673413[[#This Row],[début]],1,0)+Horaires35673413[[#This Row],[Fin]]</f>
        <v>0</v>
      </c>
      <c r="N19" s="35">
        <f>IF(Horaires35673413[[#This Row],[Fin]]&lt;Horaires35673413[[#This Row],[début]],MAX(0,MIN(Horaires35673413[[#This Row],[Fin corrigée si nuit]],fin_nuit)-MAX(Horaires35673413[[#This Row],[début]],deb_nuit))*24,(MAX(deb_nuit,Horaires35673413[[#This Row],[Fin]])-MAX(deb_nuit,Horaires35673413[[#This Row],[début]])+MAX(MIN(fin_nuit-1,Horaires35673413[[#This Row],[Fin]])-MIN(fin_nuit-1,Horaires35673413[[#This Row],[début]]),0))*24)</f>
        <v>0</v>
      </c>
      <c r="O19" s="45">
        <f>(MAX(0,MIN(Horaires35673413[[#This Row],[Fin corrigée si nuit]],fin_nuit)-MAX(Horaires35673413[[#This Row],[début]],deb_nuit))-IF(Horaires35673413[[#This Row],[PNP Début]]=0,0,MIN(Horaires35673413[[#This Row],[PNP Fin corrigée]],fin_nuit)-MAX(Horaires35673413[[#This Row],[PNP Début corrigé]],deb_nuit)))*24</f>
        <v>0</v>
      </c>
      <c r="P19" s="45">
        <f>(IF(WEEKDAY(Horaires35673413[[#This Row],[Date]],2)=7,MAX(0,MIN(fin_dimJF,Horaires35673413[[#This Row],[Fin corrigée si nuit]])-MAX(deb_dimJF,Horaires35673413[[#This Row],[début]])),0)+IF(WEEKDAY(Horaires35673413[[#This Row],[Date]],2)=6,MAX(0,Horaires35673413[[#This Row],[Fin corrigée si nuit]]-(1+deb_dimJF)),0))*24</f>
        <v>0</v>
      </c>
      <c r="Q19" s="45">
        <f>(IF(WEEKDAY(Horaires35673413[[#This Row],[Date]],2)=7,MAX(0,MIN(fin_dimJF,Horaires35673413[[#This Row],[Fin corrigée si nuit]])-MAX(deb_dimJF,Horaires35673413[[#This Row],[début]])),0)+IF(WEEKDAY(Horaires35673413[[#This Row],[Date]],2)=6,MAX(0,Horaires35673413[[#This Row],[Fin corrigée si nuit]]-(1+deb_dimJF)),0))*24-
(IF(WEEKDAY(Horaires35673413[[#This Row],[Date]],2)=7,MAX(0,MIN(fin_dimJF,Horaires35673413[[#This Row],[PNP Fin corrigée]])-MAX(deb_dimJF,Horaires35673413[[#This Row],[PNP Début corrigé]])),0)+IF(WEEKDAY(Horaires35673413[[#This Row],[Date]],2)=6,MAX(0,Horaires35673413[[#This Row],[PNP Fin corrigée]]-(1+deb_dimJF)),0))*24</f>
        <v>0</v>
      </c>
      <c r="R19" s="45">
        <f>(IF(COUNTIF(JF,Horaires35673413[[#This Row],[Date]]),MAX(0,MIN(fin_dimJF,Horaires35673413[[#This Row],[Fin corrigée si nuit]])-MAX(deb_dimJF,Horaires35673413[[#This Row],[début]])),0)+IF(COUNTIF(JF,Horaires35673413[[#This Row],[Date]]+1),MAX(0,Horaires35673413[[#This Row],[Fin corrigée si nuit]]-(1+deb_dimJF)),0))*24</f>
        <v>0</v>
      </c>
      <c r="S19" s="45">
        <f>(IF(COUNTIF(JF,Horaires35673413[[#This Row],[Date]]),MAX(0,MIN(fin_dimJF,Horaires35673413[[#This Row],[Fin corrigée si nuit]])-MAX(deb_dimJF,Horaires35673413[[#This Row],[début]])),0)+IF(COUNTIF(JF,Horaires35673413[[#This Row],[Date]]+1),MAX(0,Horaires35673413[[#This Row],[Fin corrigée si nuit]]-(1+deb_dimJF)),0))*24-
(IF(COUNTIF(JF,Horaires35673413[[#This Row],[Date]]),MAX(0,MIN(fin_dimJF,Horaires35673413[[#This Row],[PNP Fin corrigée]])-MAX(deb_dimJF,Horaires35673413[[#This Row],[PNP Début corrigé]])),0)+IF(COUNTIF(JF,Horaires35673413[[#This Row],[Date]]+1),MAX(0,Horaires35673413[[#This Row],[PNP Fin corrigée]]-(1+deb_dimJF)),0))*24</f>
        <v>0</v>
      </c>
    </row>
    <row r="20" spans="1:19" x14ac:dyDescent="0.35">
      <c r="A20" s="5"/>
      <c r="B20" s="1"/>
      <c r="C20" s="11"/>
      <c r="D20" s="11"/>
      <c r="E20" s="12"/>
      <c r="F20" s="12"/>
      <c r="G20" s="12"/>
      <c r="H20" s="12"/>
      <c r="I20" s="41">
        <f>0.1*(Horaires35673413[[#This Row],[Heures de nuit]]+Horaires35673413[[#This Row],[heures jour dimanche]]+Horaires35673413[[#This Row],[heures jour fériés]])</f>
        <v>0</v>
      </c>
      <c r="J20" s="42">
        <f>(MOD(Horaires35673413[[#This Row],[Fin]]-Horaires35673413[[#This Row],[début]],1)-MOD(Horaires35673413[[#This Row],[PNP Fin]]-Horaires35673413[[#This Row],[PNP Début]],1))*24</f>
        <v>0</v>
      </c>
      <c r="K20" s="43">
        <f>IF(Horaires35673413[[#This Row],[PNP Début]]=0,0,IF(Horaires35673413[[#This Row],[PNP Début]]&lt;Horaires35673413[[#This Row],[début]],1,0)+Horaires35673413[[#This Row],[PNP Début]])</f>
        <v>0</v>
      </c>
      <c r="L20" s="44">
        <f>IF(Horaires35673413[[#This Row],[PNP Fin]]=0,0,IF(Horaires35673413[[#This Row],[PNP Fin]]&lt;Horaires35673413[[#This Row],[début]],1,0)+Horaires35673413[[#This Row],[PNP Fin]])</f>
        <v>0</v>
      </c>
      <c r="M20" s="44">
        <f>IF(Horaires35673413[[#This Row],[Fin]]&lt;Horaires35673413[[#This Row],[début]],1,0)+Horaires35673413[[#This Row],[Fin]]</f>
        <v>0</v>
      </c>
      <c r="N20" s="35">
        <f>IF(Horaires35673413[[#This Row],[Fin]]&lt;Horaires35673413[[#This Row],[début]],MAX(0,MIN(Horaires35673413[[#This Row],[Fin corrigée si nuit]],fin_nuit)-MAX(Horaires35673413[[#This Row],[début]],deb_nuit))*24,(MAX(deb_nuit,Horaires35673413[[#This Row],[Fin]])-MAX(deb_nuit,Horaires35673413[[#This Row],[début]])+MAX(MIN(fin_nuit-1,Horaires35673413[[#This Row],[Fin]])-MIN(fin_nuit-1,Horaires35673413[[#This Row],[début]]),0))*24)</f>
        <v>0</v>
      </c>
      <c r="O20" s="45">
        <f>(MAX(0,MIN(Horaires35673413[[#This Row],[Fin corrigée si nuit]],fin_nuit)-MAX(Horaires35673413[[#This Row],[début]],deb_nuit))-IF(Horaires35673413[[#This Row],[PNP Début]]=0,0,MIN(Horaires35673413[[#This Row],[PNP Fin corrigée]],fin_nuit)-MAX(Horaires35673413[[#This Row],[PNP Début corrigé]],deb_nuit)))*24</f>
        <v>0</v>
      </c>
      <c r="P20" s="45">
        <f>(IF(WEEKDAY(Horaires35673413[[#This Row],[Date]],2)=7,MAX(0,MIN(fin_dimJF,Horaires35673413[[#This Row],[Fin corrigée si nuit]])-MAX(deb_dimJF,Horaires35673413[[#This Row],[début]])),0)+IF(WEEKDAY(Horaires35673413[[#This Row],[Date]],2)=6,MAX(0,Horaires35673413[[#This Row],[Fin corrigée si nuit]]-(1+deb_dimJF)),0))*24</f>
        <v>0</v>
      </c>
      <c r="Q20" s="45">
        <f>(IF(WEEKDAY(Horaires35673413[[#This Row],[Date]],2)=7,MAX(0,MIN(fin_dimJF,Horaires35673413[[#This Row],[Fin corrigée si nuit]])-MAX(deb_dimJF,Horaires35673413[[#This Row],[début]])),0)+IF(WEEKDAY(Horaires35673413[[#This Row],[Date]],2)=6,MAX(0,Horaires35673413[[#This Row],[Fin corrigée si nuit]]-(1+deb_dimJF)),0))*24-
(IF(WEEKDAY(Horaires35673413[[#This Row],[Date]],2)=7,MAX(0,MIN(fin_dimJF,Horaires35673413[[#This Row],[PNP Fin corrigée]])-MAX(deb_dimJF,Horaires35673413[[#This Row],[PNP Début corrigé]])),0)+IF(WEEKDAY(Horaires35673413[[#This Row],[Date]],2)=6,MAX(0,Horaires35673413[[#This Row],[PNP Fin corrigée]]-(1+deb_dimJF)),0))*24</f>
        <v>0</v>
      </c>
      <c r="R20" s="45">
        <f>(IF(COUNTIF(JF,Horaires35673413[[#This Row],[Date]]),MAX(0,MIN(fin_dimJF,Horaires35673413[[#This Row],[Fin corrigée si nuit]])-MAX(deb_dimJF,Horaires35673413[[#This Row],[début]])),0)+IF(COUNTIF(JF,Horaires35673413[[#This Row],[Date]]+1),MAX(0,Horaires35673413[[#This Row],[Fin corrigée si nuit]]-(1+deb_dimJF)),0))*24</f>
        <v>0</v>
      </c>
      <c r="S20" s="45">
        <f>(IF(COUNTIF(JF,Horaires35673413[[#This Row],[Date]]),MAX(0,MIN(fin_dimJF,Horaires35673413[[#This Row],[Fin corrigée si nuit]])-MAX(deb_dimJF,Horaires35673413[[#This Row],[début]])),0)+IF(COUNTIF(JF,Horaires35673413[[#This Row],[Date]]+1),MAX(0,Horaires35673413[[#This Row],[Fin corrigée si nuit]]-(1+deb_dimJF)),0))*24-
(IF(COUNTIF(JF,Horaires35673413[[#This Row],[Date]]),MAX(0,MIN(fin_dimJF,Horaires35673413[[#This Row],[PNP Fin corrigée]])-MAX(deb_dimJF,Horaires35673413[[#This Row],[PNP Début corrigé]])),0)+IF(COUNTIF(JF,Horaires35673413[[#This Row],[Date]]+1),MAX(0,Horaires35673413[[#This Row],[PNP Fin corrigée]]-(1+deb_dimJF)),0))*24</f>
        <v>0</v>
      </c>
    </row>
    <row r="21" spans="1:19" x14ac:dyDescent="0.35">
      <c r="A21" s="5"/>
      <c r="B21" s="6"/>
      <c r="C21" s="13"/>
      <c r="D21" s="13"/>
      <c r="E21" s="3"/>
      <c r="F21" s="3"/>
      <c r="G21" s="14"/>
      <c r="H21" s="14"/>
      <c r="I21" s="46">
        <f>0.1*(Horaires35673413[[#This Row],[Heures de nuit]]+Horaires35673413[[#This Row],[heures jour dimanche]]+Horaires35673413[[#This Row],[heures jour fériés]])</f>
        <v>0</v>
      </c>
      <c r="J21" s="47">
        <f>(MOD(Horaires35673413[[#This Row],[Fin]]-Horaires35673413[[#This Row],[début]],1)-MOD(Horaires35673413[[#This Row],[PNP Fin]]-Horaires35673413[[#This Row],[PNP Début]],1))*24</f>
        <v>0</v>
      </c>
      <c r="K21" s="48">
        <f>IF(Horaires35673413[[#This Row],[PNP Début]]=0,0,IF(Horaires35673413[[#This Row],[PNP Début]]&lt;Horaires35673413[[#This Row],[début]],1,0)+Horaires35673413[[#This Row],[PNP Début]])</f>
        <v>0</v>
      </c>
      <c r="L21" s="49">
        <f>IF(Horaires35673413[[#This Row],[PNP Fin]]=0,0,IF(Horaires35673413[[#This Row],[PNP Fin]]&lt;Horaires35673413[[#This Row],[début]],1,0)+Horaires35673413[[#This Row],[PNP Fin]])</f>
        <v>0</v>
      </c>
      <c r="M21" s="49">
        <f>IF(Horaires35673413[[#This Row],[Fin]]&lt;Horaires35673413[[#This Row],[début]],1,0)+Horaires35673413[[#This Row],[Fin]]</f>
        <v>0</v>
      </c>
      <c r="N21" s="35">
        <f>IF(Horaires35673413[[#This Row],[Fin]]&lt;Horaires35673413[[#This Row],[début]],MAX(0,MIN(Horaires35673413[[#This Row],[Fin corrigée si nuit]],fin_nuit)-MAX(Horaires35673413[[#This Row],[début]],deb_nuit))*24,(MAX(deb_nuit,Horaires35673413[[#This Row],[Fin]])-MAX(deb_nuit,Horaires35673413[[#This Row],[début]])+MAX(MIN(fin_nuit-1,Horaires35673413[[#This Row],[Fin]])-MIN(fin_nuit-1,Horaires35673413[[#This Row],[début]]),0))*24)</f>
        <v>0</v>
      </c>
      <c r="O21" s="50">
        <f>(MAX(0,MIN(Horaires35673413[[#This Row],[Fin corrigée si nuit]],fin_nuit)-MAX(Horaires35673413[[#This Row],[début]],deb_nuit))-IF(Horaires35673413[[#This Row],[PNP Début]]=0,0,MIN(Horaires35673413[[#This Row],[PNP Fin corrigée]],fin_nuit)-MAX(Horaires35673413[[#This Row],[PNP Début corrigé]],deb_nuit)))*24</f>
        <v>0</v>
      </c>
      <c r="P21" s="50">
        <f>(IF(WEEKDAY(Horaires35673413[[#This Row],[Date]],2)=7,MAX(0,MIN(fin_dimJF,Horaires35673413[[#This Row],[Fin corrigée si nuit]])-MAX(deb_dimJF,Horaires35673413[[#This Row],[début]])),0)+IF(WEEKDAY(Horaires35673413[[#This Row],[Date]],2)=6,MAX(0,Horaires35673413[[#This Row],[Fin corrigée si nuit]]-(1+deb_dimJF)),0))*24</f>
        <v>0</v>
      </c>
      <c r="Q21" s="50">
        <f>(IF(WEEKDAY(Horaires35673413[[#This Row],[Date]],2)=7,MAX(0,MIN(fin_dimJF,Horaires35673413[[#This Row],[Fin corrigée si nuit]])-MAX(deb_dimJF,Horaires35673413[[#This Row],[début]])),0)+IF(WEEKDAY(Horaires35673413[[#This Row],[Date]],2)=6,MAX(0,Horaires35673413[[#This Row],[Fin corrigée si nuit]]-(1+deb_dimJF)),0))*24-
(IF(WEEKDAY(Horaires35673413[[#This Row],[Date]],2)=7,MAX(0,MIN(fin_dimJF,Horaires35673413[[#This Row],[PNP Fin corrigée]])-MAX(deb_dimJF,Horaires35673413[[#This Row],[PNP Début corrigé]])),0)+IF(WEEKDAY(Horaires35673413[[#This Row],[Date]],2)=6,MAX(0,Horaires35673413[[#This Row],[PNP Fin corrigée]]-(1+deb_dimJF)),0))*24</f>
        <v>0</v>
      </c>
      <c r="R21" s="50">
        <f>(IF(COUNTIF(JF,Horaires35673413[[#This Row],[Date]]),MAX(0,MIN(fin_dimJF,Horaires35673413[[#This Row],[Fin corrigée si nuit]])-MAX(deb_dimJF,Horaires35673413[[#This Row],[début]])),0)+IF(COUNTIF(JF,Horaires35673413[[#This Row],[Date]]+1),MAX(0,Horaires35673413[[#This Row],[Fin corrigée si nuit]]-(1+deb_dimJF)),0))*24</f>
        <v>0</v>
      </c>
      <c r="S21" s="50">
        <f>(IF(COUNTIF(JF,Horaires35673413[[#This Row],[Date]]),MAX(0,MIN(fin_dimJF,Horaires35673413[[#This Row],[Fin corrigée si nuit]])-MAX(deb_dimJF,Horaires35673413[[#This Row],[début]])),0)+IF(COUNTIF(JF,Horaires35673413[[#This Row],[Date]]+1),MAX(0,Horaires35673413[[#This Row],[Fin corrigée si nuit]]-(1+deb_dimJF)),0))*24-
(IF(COUNTIF(JF,Horaires35673413[[#This Row],[Date]]),MAX(0,MIN(fin_dimJF,Horaires35673413[[#This Row],[PNP Fin corrigée]])-MAX(deb_dimJF,Horaires35673413[[#This Row],[PNP Début corrigé]])),0)+IF(COUNTIF(JF,Horaires35673413[[#This Row],[Date]]+1),MAX(0,Horaires35673413[[#This Row],[PNP Fin corrigée]]-(1+deb_dimJF)),0))*24</f>
        <v>0</v>
      </c>
    </row>
    <row r="22" spans="1:19" x14ac:dyDescent="0.35">
      <c r="A22" s="5"/>
      <c r="B22" s="1"/>
      <c r="C22" s="13"/>
      <c r="D22" s="13"/>
      <c r="E22" s="3"/>
      <c r="F22" s="3"/>
      <c r="G22" s="3"/>
      <c r="H22" s="3"/>
      <c r="I22" s="51">
        <f>0.1*(Horaires35673413[[#This Row],[Heures de nuit]]+Horaires35673413[[#This Row],[heures jour dimanche]]+Horaires35673413[[#This Row],[heures jour fériés]])</f>
        <v>0</v>
      </c>
      <c r="J22" s="52">
        <f>(MOD(Horaires35673413[[#This Row],[Fin]]-Horaires35673413[[#This Row],[début]],1)-MOD(Horaires35673413[[#This Row],[PNP Fin]]-Horaires35673413[[#This Row],[PNP Début]],1))*24</f>
        <v>0</v>
      </c>
      <c r="K22" s="53">
        <f>IF(Horaires35673413[[#This Row],[PNP Début]]=0,0,IF(Horaires35673413[[#This Row],[PNP Début]]&lt;Horaires35673413[[#This Row],[début]],1,0)+Horaires35673413[[#This Row],[PNP Début]])</f>
        <v>0</v>
      </c>
      <c r="L22" s="54">
        <f>IF(Horaires35673413[[#This Row],[PNP Fin]]=0,0,IF(Horaires35673413[[#This Row],[PNP Fin]]&lt;Horaires35673413[[#This Row],[début]],1,0)+Horaires35673413[[#This Row],[PNP Fin]])</f>
        <v>0</v>
      </c>
      <c r="M22" s="54">
        <f>IF(Horaires35673413[[#This Row],[Fin]]&lt;Horaires35673413[[#This Row],[début]],1,0)+Horaires35673413[[#This Row],[Fin]]</f>
        <v>0</v>
      </c>
      <c r="N22" s="35">
        <f>IF(Horaires35673413[[#This Row],[Fin]]&lt;Horaires35673413[[#This Row],[début]],MAX(0,MIN(Horaires35673413[[#This Row],[Fin corrigée si nuit]],fin_nuit)-MAX(Horaires35673413[[#This Row],[début]],deb_nuit))*24,(MAX(deb_nuit,Horaires35673413[[#This Row],[Fin]])-MAX(deb_nuit,Horaires35673413[[#This Row],[début]])+MAX(MIN(fin_nuit-1,Horaires35673413[[#This Row],[Fin]])-MIN(fin_nuit-1,Horaires35673413[[#This Row],[début]]),0))*24)</f>
        <v>0</v>
      </c>
      <c r="O22" s="55">
        <f>(MAX(0,MIN(Horaires35673413[[#This Row],[Fin corrigée si nuit]],fin_nuit)-MAX(Horaires35673413[[#This Row],[début]],deb_nuit))-IF(Horaires35673413[[#This Row],[PNP Début]]=0,0,MIN(Horaires35673413[[#This Row],[PNP Fin corrigée]],fin_nuit)-MAX(Horaires35673413[[#This Row],[PNP Début corrigé]],deb_nuit)))*24</f>
        <v>0</v>
      </c>
      <c r="P22" s="55">
        <f>(IF(WEEKDAY(Horaires35673413[[#This Row],[Date]],2)=7,MAX(0,MIN(fin_dimJF,Horaires35673413[[#This Row],[Fin corrigée si nuit]])-MAX(deb_dimJF,Horaires35673413[[#This Row],[début]])),0)+IF(WEEKDAY(Horaires35673413[[#This Row],[Date]],2)=6,MAX(0,Horaires35673413[[#This Row],[Fin corrigée si nuit]]-(1+deb_dimJF)),0))*24</f>
        <v>0</v>
      </c>
      <c r="Q22" s="55">
        <f>(IF(WEEKDAY(Horaires35673413[[#This Row],[Date]],2)=7,MAX(0,MIN(fin_dimJF,Horaires35673413[[#This Row],[Fin corrigée si nuit]])-MAX(deb_dimJF,Horaires35673413[[#This Row],[début]])),0)+IF(WEEKDAY(Horaires35673413[[#This Row],[Date]],2)=6,MAX(0,Horaires35673413[[#This Row],[Fin corrigée si nuit]]-(1+deb_dimJF)),0))*24-
(IF(WEEKDAY(Horaires35673413[[#This Row],[Date]],2)=7,MAX(0,MIN(fin_dimJF,Horaires35673413[[#This Row],[PNP Fin corrigée]])-MAX(deb_dimJF,Horaires35673413[[#This Row],[PNP Début corrigé]])),0)+IF(WEEKDAY(Horaires35673413[[#This Row],[Date]],2)=6,MAX(0,Horaires35673413[[#This Row],[PNP Fin corrigée]]-(1+deb_dimJF)),0))*24</f>
        <v>0</v>
      </c>
      <c r="R22" s="55">
        <f>(IF(COUNTIF(JF,Horaires35673413[[#This Row],[Date]]),MAX(0,MIN(fin_dimJF,Horaires35673413[[#This Row],[Fin corrigée si nuit]])-MAX(deb_dimJF,Horaires35673413[[#This Row],[début]])),0)+IF(COUNTIF(JF,Horaires35673413[[#This Row],[Date]]+1),MAX(0,Horaires35673413[[#This Row],[Fin corrigée si nuit]]-(1+deb_dimJF)),0))*24</f>
        <v>0</v>
      </c>
      <c r="S22" s="55">
        <f>(IF(COUNTIF(JF,Horaires35673413[[#This Row],[Date]]),MAX(0,MIN(fin_dimJF,Horaires35673413[[#This Row],[Fin corrigée si nuit]])-MAX(deb_dimJF,Horaires35673413[[#This Row],[début]])),0)+IF(COUNTIF(JF,Horaires35673413[[#This Row],[Date]]+1),MAX(0,Horaires35673413[[#This Row],[Fin corrigée si nuit]]-(1+deb_dimJF)),0))*24-
(IF(COUNTIF(JF,Horaires35673413[[#This Row],[Date]]),MAX(0,MIN(fin_dimJF,Horaires35673413[[#This Row],[PNP Fin corrigée]])-MAX(deb_dimJF,Horaires35673413[[#This Row],[PNP Début corrigé]])),0)+IF(COUNTIF(JF,Horaires35673413[[#This Row],[Date]]+1),MAX(0,Horaires35673413[[#This Row],[PNP Fin corrigée]]-(1+deb_dimJF)),0))*24</f>
        <v>0</v>
      </c>
    </row>
    <row r="23" spans="1:19" x14ac:dyDescent="0.35">
      <c r="A23" s="5"/>
      <c r="B23" s="1"/>
      <c r="C23" s="13"/>
      <c r="D23" s="13"/>
      <c r="E23" s="3"/>
      <c r="F23" s="3"/>
      <c r="G23" s="3"/>
      <c r="H23" s="3"/>
      <c r="I23" s="51">
        <f>0.1*(Horaires35673413[[#This Row],[Heures de nuit]]+Horaires35673413[[#This Row],[heures jour dimanche]]+Horaires35673413[[#This Row],[heures jour fériés]])</f>
        <v>0</v>
      </c>
      <c r="J23" s="52">
        <f>(MOD(Horaires35673413[[#This Row],[Fin]]-Horaires35673413[[#This Row],[début]],1)-MOD(Horaires35673413[[#This Row],[PNP Fin]]-Horaires35673413[[#This Row],[PNP Début]],1))*24</f>
        <v>0</v>
      </c>
      <c r="K23" s="53">
        <f>IF(Horaires35673413[[#This Row],[PNP Début]]=0,0,IF(Horaires35673413[[#This Row],[PNP Début]]&lt;Horaires35673413[[#This Row],[début]],1,0)+Horaires35673413[[#This Row],[PNP Début]])</f>
        <v>0</v>
      </c>
      <c r="L23" s="54">
        <f>IF(Horaires35673413[[#This Row],[PNP Fin]]=0,0,IF(Horaires35673413[[#This Row],[PNP Fin]]&lt;Horaires35673413[[#This Row],[début]],1,0)+Horaires35673413[[#This Row],[PNP Fin]])</f>
        <v>0</v>
      </c>
      <c r="M23" s="54">
        <f>IF(Horaires35673413[[#This Row],[Fin]]&lt;Horaires35673413[[#This Row],[début]],1,0)+Horaires35673413[[#This Row],[Fin]]</f>
        <v>0</v>
      </c>
      <c r="N23" s="35">
        <f>IF(Horaires35673413[[#This Row],[Fin]]&lt;Horaires35673413[[#This Row],[début]],MAX(0,MIN(Horaires35673413[[#This Row],[Fin corrigée si nuit]],fin_nuit)-MAX(Horaires35673413[[#This Row],[début]],deb_nuit))*24,(MAX(deb_nuit,Horaires35673413[[#This Row],[Fin]])-MAX(deb_nuit,Horaires35673413[[#This Row],[début]])+MAX(MIN(fin_nuit-1,Horaires35673413[[#This Row],[Fin]])-MIN(fin_nuit-1,Horaires35673413[[#This Row],[début]]),0))*24)</f>
        <v>0</v>
      </c>
      <c r="O23" s="55">
        <f>(MAX(0,MIN(Horaires35673413[[#This Row],[Fin corrigée si nuit]],fin_nuit)-MAX(Horaires35673413[[#This Row],[début]],deb_nuit))-IF(Horaires35673413[[#This Row],[PNP Début]]=0,0,MIN(Horaires35673413[[#This Row],[PNP Fin corrigée]],fin_nuit)-MAX(Horaires35673413[[#This Row],[PNP Début corrigé]],deb_nuit)))*24</f>
        <v>0</v>
      </c>
      <c r="P23" s="55">
        <f>(IF(WEEKDAY(Horaires35673413[[#This Row],[Date]],2)=7,MAX(0,MIN(fin_dimJF,Horaires35673413[[#This Row],[Fin corrigée si nuit]])-MAX(deb_dimJF,Horaires35673413[[#This Row],[début]])),0)+IF(WEEKDAY(Horaires35673413[[#This Row],[Date]],2)=6,MAX(0,Horaires35673413[[#This Row],[Fin corrigée si nuit]]-(1+deb_dimJF)),0))*24</f>
        <v>0</v>
      </c>
      <c r="Q23" s="55">
        <f>(IF(WEEKDAY(Horaires35673413[[#This Row],[Date]],2)=7,MAX(0,MIN(fin_dimJF,Horaires35673413[[#This Row],[Fin corrigée si nuit]])-MAX(deb_dimJF,Horaires35673413[[#This Row],[début]])),0)+IF(WEEKDAY(Horaires35673413[[#This Row],[Date]],2)=6,MAX(0,Horaires35673413[[#This Row],[Fin corrigée si nuit]]-(1+deb_dimJF)),0))*24-
(IF(WEEKDAY(Horaires35673413[[#This Row],[Date]],2)=7,MAX(0,MIN(fin_dimJF,Horaires35673413[[#This Row],[PNP Fin corrigée]])-MAX(deb_dimJF,Horaires35673413[[#This Row],[PNP Début corrigé]])),0)+IF(WEEKDAY(Horaires35673413[[#This Row],[Date]],2)=6,MAX(0,Horaires35673413[[#This Row],[PNP Fin corrigée]]-(1+deb_dimJF)),0))*24</f>
        <v>0</v>
      </c>
      <c r="R23" s="55">
        <f>(IF(COUNTIF(JF,Horaires35673413[[#This Row],[Date]]),MAX(0,MIN(fin_dimJF,Horaires35673413[[#This Row],[Fin corrigée si nuit]])-MAX(deb_dimJF,Horaires35673413[[#This Row],[début]])),0)+IF(COUNTIF(JF,Horaires35673413[[#This Row],[Date]]+1),MAX(0,Horaires35673413[[#This Row],[Fin corrigée si nuit]]-(1+deb_dimJF)),0))*24</f>
        <v>0</v>
      </c>
      <c r="S23" s="55">
        <f>(IF(COUNTIF(JF,Horaires35673413[[#This Row],[Date]]),MAX(0,MIN(fin_dimJF,Horaires35673413[[#This Row],[Fin corrigée si nuit]])-MAX(deb_dimJF,Horaires35673413[[#This Row],[début]])),0)+IF(COUNTIF(JF,Horaires35673413[[#This Row],[Date]]+1),MAX(0,Horaires35673413[[#This Row],[Fin corrigée si nuit]]-(1+deb_dimJF)),0))*24-
(IF(COUNTIF(JF,Horaires35673413[[#This Row],[Date]]),MAX(0,MIN(fin_dimJF,Horaires35673413[[#This Row],[PNP Fin corrigée]])-MAX(deb_dimJF,Horaires35673413[[#This Row],[PNP Début corrigé]])),0)+IF(COUNTIF(JF,Horaires35673413[[#This Row],[Date]]+1),MAX(0,Horaires35673413[[#This Row],[PNP Fin corrigée]]-(1+deb_dimJF)),0))*24</f>
        <v>0</v>
      </c>
    </row>
    <row r="24" spans="1:19" x14ac:dyDescent="0.35">
      <c r="A24" s="5"/>
      <c r="B24" s="1"/>
      <c r="C24" s="2"/>
      <c r="D24" s="2"/>
      <c r="E24" s="3"/>
      <c r="F24" s="3"/>
      <c r="G24" s="3"/>
      <c r="H24" s="3"/>
      <c r="I24" s="51">
        <f>0.1*(Horaires35673413[[#This Row],[Heures de nuit]]+Horaires35673413[[#This Row],[heures jour dimanche]]+Horaires35673413[[#This Row],[heures jour fériés]])</f>
        <v>0</v>
      </c>
      <c r="J24" s="52">
        <f>(MOD(Horaires35673413[[#This Row],[Fin]]-Horaires35673413[[#This Row],[début]],1)-MOD(Horaires35673413[[#This Row],[PNP Fin]]-Horaires35673413[[#This Row],[PNP Début]],1))*24</f>
        <v>0</v>
      </c>
      <c r="K24" s="53">
        <f>IF(Horaires35673413[[#This Row],[PNP Début]]=0,0,IF(Horaires35673413[[#This Row],[PNP Début]]&lt;Horaires35673413[[#This Row],[début]],1,0)+Horaires35673413[[#This Row],[PNP Début]])</f>
        <v>0</v>
      </c>
      <c r="L24" s="54">
        <f>IF(Horaires35673413[[#This Row],[PNP Fin]]=0,0,IF(Horaires35673413[[#This Row],[PNP Fin]]&lt;Horaires35673413[[#This Row],[début]],1,0)+Horaires35673413[[#This Row],[PNP Fin]])</f>
        <v>0</v>
      </c>
      <c r="M24" s="54">
        <f>IF(Horaires35673413[[#This Row],[Fin]]&lt;Horaires35673413[[#This Row],[début]],1,0)+Horaires35673413[[#This Row],[Fin]]</f>
        <v>0</v>
      </c>
      <c r="N24" s="35">
        <f>IF(Horaires35673413[[#This Row],[Fin]]&lt;Horaires35673413[[#This Row],[début]],MAX(0,MIN(Horaires35673413[[#This Row],[Fin corrigée si nuit]],fin_nuit)-MAX(Horaires35673413[[#This Row],[début]],deb_nuit))*24,(MAX(deb_nuit,Horaires35673413[[#This Row],[Fin]])-MAX(deb_nuit,Horaires35673413[[#This Row],[début]])+MAX(MIN(fin_nuit-1,Horaires35673413[[#This Row],[Fin]])-MIN(fin_nuit-1,Horaires35673413[[#This Row],[début]]),0))*24)</f>
        <v>0</v>
      </c>
      <c r="O24" s="55">
        <f>(MAX(0,MIN(Horaires35673413[[#This Row],[Fin corrigée si nuit]],fin_nuit)-MAX(Horaires35673413[[#This Row],[début]],deb_nuit))-IF(Horaires35673413[[#This Row],[PNP Début]]=0,0,MIN(Horaires35673413[[#This Row],[PNP Fin corrigée]],fin_nuit)-MAX(Horaires35673413[[#This Row],[PNP Début corrigé]],deb_nuit)))*24</f>
        <v>0</v>
      </c>
      <c r="P24" s="55">
        <f>(IF(WEEKDAY(Horaires35673413[[#This Row],[Date]],2)=7,MAX(0,MIN(fin_dimJF,Horaires35673413[[#This Row],[Fin corrigée si nuit]])-MAX(deb_dimJF,Horaires35673413[[#This Row],[début]])),0)+IF(WEEKDAY(Horaires35673413[[#This Row],[Date]],2)=6,MAX(0,Horaires35673413[[#This Row],[Fin corrigée si nuit]]-(1+deb_dimJF)),0))*24</f>
        <v>0</v>
      </c>
      <c r="Q24" s="55">
        <f>(IF(WEEKDAY(Horaires35673413[[#This Row],[Date]],2)=7,MAX(0,MIN(fin_dimJF,Horaires35673413[[#This Row],[Fin corrigée si nuit]])-MAX(deb_dimJF,Horaires35673413[[#This Row],[début]])),0)+IF(WEEKDAY(Horaires35673413[[#This Row],[Date]],2)=6,MAX(0,Horaires35673413[[#This Row],[Fin corrigée si nuit]]-(1+deb_dimJF)),0))*24-
(IF(WEEKDAY(Horaires35673413[[#This Row],[Date]],2)=7,MAX(0,MIN(fin_dimJF,Horaires35673413[[#This Row],[PNP Fin corrigée]])-MAX(deb_dimJF,Horaires35673413[[#This Row],[PNP Début corrigé]])),0)+IF(WEEKDAY(Horaires35673413[[#This Row],[Date]],2)=6,MAX(0,Horaires35673413[[#This Row],[PNP Fin corrigée]]-(1+deb_dimJF)),0))*24</f>
        <v>0</v>
      </c>
      <c r="R24" s="55">
        <f>(IF(COUNTIF(JF,Horaires35673413[[#This Row],[Date]]),MAX(0,MIN(fin_dimJF,Horaires35673413[[#This Row],[Fin corrigée si nuit]])-MAX(deb_dimJF,Horaires35673413[[#This Row],[début]])),0)+IF(COUNTIF(JF,Horaires35673413[[#This Row],[Date]]+1),MAX(0,Horaires35673413[[#This Row],[Fin corrigée si nuit]]-(1+deb_dimJF)),0))*24</f>
        <v>0</v>
      </c>
      <c r="S24" s="55">
        <f>(IF(COUNTIF(JF,Horaires35673413[[#This Row],[Date]]),MAX(0,MIN(fin_dimJF,Horaires35673413[[#This Row],[Fin corrigée si nuit]])-MAX(deb_dimJF,Horaires35673413[[#This Row],[début]])),0)+IF(COUNTIF(JF,Horaires35673413[[#This Row],[Date]]+1),MAX(0,Horaires35673413[[#This Row],[Fin corrigée si nuit]]-(1+deb_dimJF)),0))*24-
(IF(COUNTIF(JF,Horaires35673413[[#This Row],[Date]]),MAX(0,MIN(fin_dimJF,Horaires35673413[[#This Row],[PNP Fin corrigée]])-MAX(deb_dimJF,Horaires35673413[[#This Row],[PNP Début corrigé]])),0)+IF(COUNTIF(JF,Horaires35673413[[#This Row],[Date]]+1),MAX(0,Horaires35673413[[#This Row],[PNP Fin corrigée]]-(1+deb_dimJF)),0))*24</f>
        <v>0</v>
      </c>
    </row>
    <row r="25" spans="1:19" x14ac:dyDescent="0.35">
      <c r="A25" s="5"/>
      <c r="B25" s="1"/>
      <c r="C25" s="2"/>
      <c r="D25" s="2"/>
      <c r="E25" s="3"/>
      <c r="F25" s="3"/>
      <c r="G25" s="3"/>
      <c r="H25" s="3"/>
      <c r="I25" s="51">
        <f>0.1*(Horaires35673413[[#This Row],[Heures de nuit]]+Horaires35673413[[#This Row],[heures jour dimanche]]+Horaires35673413[[#This Row],[heures jour fériés]])</f>
        <v>0</v>
      </c>
      <c r="J25" s="52">
        <f>(MOD(Horaires35673413[[#This Row],[Fin]]-Horaires35673413[[#This Row],[début]],1)-MOD(Horaires35673413[[#This Row],[PNP Fin]]-Horaires35673413[[#This Row],[PNP Début]],1))*24</f>
        <v>0</v>
      </c>
      <c r="K25" s="53">
        <f>IF(Horaires35673413[[#This Row],[PNP Début]]=0,0,IF(Horaires35673413[[#This Row],[PNP Début]]&lt;Horaires35673413[[#This Row],[début]],1,0)+Horaires35673413[[#This Row],[PNP Début]])</f>
        <v>0</v>
      </c>
      <c r="L25" s="54">
        <f>IF(Horaires35673413[[#This Row],[PNP Fin]]=0,0,IF(Horaires35673413[[#This Row],[PNP Fin]]&lt;Horaires35673413[[#This Row],[début]],1,0)+Horaires35673413[[#This Row],[PNP Fin]])</f>
        <v>0</v>
      </c>
      <c r="M25" s="54">
        <f>IF(Horaires35673413[[#This Row],[Fin]]&lt;Horaires35673413[[#This Row],[début]],1,0)+Horaires35673413[[#This Row],[Fin]]</f>
        <v>0</v>
      </c>
      <c r="N25" s="35">
        <f>IF(Horaires35673413[[#This Row],[Fin]]&lt;Horaires35673413[[#This Row],[début]],MAX(0,MIN(Horaires35673413[[#This Row],[Fin corrigée si nuit]],fin_nuit)-MAX(Horaires35673413[[#This Row],[début]],deb_nuit))*24,(MAX(deb_nuit,Horaires35673413[[#This Row],[Fin]])-MAX(deb_nuit,Horaires35673413[[#This Row],[début]])+MAX(MIN(fin_nuit-1,Horaires35673413[[#This Row],[Fin]])-MIN(fin_nuit-1,Horaires35673413[[#This Row],[début]]),0))*24)</f>
        <v>0</v>
      </c>
      <c r="O25" s="55">
        <f>(MAX(0,MIN(Horaires35673413[[#This Row],[Fin corrigée si nuit]],fin_nuit)-MAX(Horaires35673413[[#This Row],[début]],deb_nuit))-IF(Horaires35673413[[#This Row],[PNP Début]]=0,0,MIN(Horaires35673413[[#This Row],[PNP Fin corrigée]],fin_nuit)-MAX(Horaires35673413[[#This Row],[PNP Début corrigé]],deb_nuit)))*24</f>
        <v>0</v>
      </c>
      <c r="P25" s="55">
        <f>(IF(WEEKDAY(Horaires35673413[[#This Row],[Date]],2)=7,MAX(0,MIN(fin_dimJF,Horaires35673413[[#This Row],[Fin corrigée si nuit]])-MAX(deb_dimJF,Horaires35673413[[#This Row],[début]])),0)+IF(WEEKDAY(Horaires35673413[[#This Row],[Date]],2)=6,MAX(0,Horaires35673413[[#This Row],[Fin corrigée si nuit]]-(1+deb_dimJF)),0))*24</f>
        <v>0</v>
      </c>
      <c r="Q25" s="55">
        <f>(IF(WEEKDAY(Horaires35673413[[#This Row],[Date]],2)=7,MAX(0,MIN(fin_dimJF,Horaires35673413[[#This Row],[Fin corrigée si nuit]])-MAX(deb_dimJF,Horaires35673413[[#This Row],[début]])),0)+IF(WEEKDAY(Horaires35673413[[#This Row],[Date]],2)=6,MAX(0,Horaires35673413[[#This Row],[Fin corrigée si nuit]]-(1+deb_dimJF)),0))*24-
(IF(WEEKDAY(Horaires35673413[[#This Row],[Date]],2)=7,MAX(0,MIN(fin_dimJF,Horaires35673413[[#This Row],[PNP Fin corrigée]])-MAX(deb_dimJF,Horaires35673413[[#This Row],[PNP Début corrigé]])),0)+IF(WEEKDAY(Horaires35673413[[#This Row],[Date]],2)=6,MAX(0,Horaires35673413[[#This Row],[PNP Fin corrigée]]-(1+deb_dimJF)),0))*24</f>
        <v>0</v>
      </c>
      <c r="R25" s="55">
        <f>(IF(COUNTIF(JF,Horaires35673413[[#This Row],[Date]]),MAX(0,MIN(fin_dimJF,Horaires35673413[[#This Row],[Fin corrigée si nuit]])-MAX(deb_dimJF,Horaires35673413[[#This Row],[début]])),0)+IF(COUNTIF(JF,Horaires35673413[[#This Row],[Date]]+1),MAX(0,Horaires35673413[[#This Row],[Fin corrigée si nuit]]-(1+deb_dimJF)),0))*24</f>
        <v>0</v>
      </c>
      <c r="S25" s="55">
        <f>(IF(COUNTIF(JF,Horaires35673413[[#This Row],[Date]]),MAX(0,MIN(fin_dimJF,Horaires35673413[[#This Row],[Fin corrigée si nuit]])-MAX(deb_dimJF,Horaires35673413[[#This Row],[début]])),0)+IF(COUNTIF(JF,Horaires35673413[[#This Row],[Date]]+1),MAX(0,Horaires35673413[[#This Row],[Fin corrigée si nuit]]-(1+deb_dimJF)),0))*24-
(IF(COUNTIF(JF,Horaires35673413[[#This Row],[Date]]),MAX(0,MIN(fin_dimJF,Horaires35673413[[#This Row],[PNP Fin corrigée]])-MAX(deb_dimJF,Horaires35673413[[#This Row],[PNP Début corrigé]])),0)+IF(COUNTIF(JF,Horaires35673413[[#This Row],[Date]]+1),MAX(0,Horaires35673413[[#This Row],[PNP Fin corrigée]]-(1+deb_dimJF)),0))*24</f>
        <v>0</v>
      </c>
    </row>
    <row r="26" spans="1:19" ht="14.4" customHeight="1" x14ac:dyDescent="0.35">
      <c r="A26" s="5"/>
      <c r="B26" s="1"/>
      <c r="C26" s="2"/>
      <c r="D26" s="2"/>
      <c r="E26" s="3"/>
      <c r="F26" s="3"/>
      <c r="G26" s="3"/>
      <c r="H26" s="3"/>
      <c r="I26" s="51">
        <f>0.1*(Horaires35673413[[#This Row],[Heures de nuit]]+Horaires35673413[[#This Row],[heures jour dimanche]]+Horaires35673413[[#This Row],[heures jour fériés]])</f>
        <v>0</v>
      </c>
      <c r="J26" s="52">
        <f>(MOD(Horaires35673413[[#This Row],[Fin]]-Horaires35673413[[#This Row],[début]],1)-MOD(Horaires35673413[[#This Row],[PNP Fin]]-Horaires35673413[[#This Row],[PNP Début]],1))*24</f>
        <v>0</v>
      </c>
      <c r="K26" s="53">
        <f>IF(Horaires35673413[[#This Row],[PNP Début]]=0,0,IF(Horaires35673413[[#This Row],[PNP Début]]&lt;Horaires35673413[[#This Row],[début]],1,0)+Horaires35673413[[#This Row],[PNP Début]])</f>
        <v>0</v>
      </c>
      <c r="L26" s="54">
        <f>IF(Horaires35673413[[#This Row],[PNP Fin]]=0,0,IF(Horaires35673413[[#This Row],[PNP Fin]]&lt;Horaires35673413[[#This Row],[début]],1,0)+Horaires35673413[[#This Row],[PNP Fin]])</f>
        <v>0</v>
      </c>
      <c r="M26" s="54">
        <f>IF(Horaires35673413[[#This Row],[Fin]]&lt;Horaires35673413[[#This Row],[début]],1,0)+Horaires35673413[[#This Row],[Fin]]</f>
        <v>0</v>
      </c>
      <c r="N26" s="35">
        <f>IF(Horaires35673413[[#This Row],[Fin]]&lt;Horaires35673413[[#This Row],[début]],MAX(0,MIN(Horaires35673413[[#This Row],[Fin corrigée si nuit]],fin_nuit)-MAX(Horaires35673413[[#This Row],[début]],deb_nuit))*24,(MAX(deb_nuit,Horaires35673413[[#This Row],[Fin]])-MAX(deb_nuit,Horaires35673413[[#This Row],[début]])+MAX(MIN(fin_nuit-1,Horaires35673413[[#This Row],[Fin]])-MIN(fin_nuit-1,Horaires35673413[[#This Row],[début]]),0))*24)</f>
        <v>0</v>
      </c>
      <c r="O26" s="55">
        <f>(MAX(0,MIN(Horaires35673413[[#This Row],[Fin corrigée si nuit]],fin_nuit)-MAX(Horaires35673413[[#This Row],[début]],deb_nuit))-IF(Horaires35673413[[#This Row],[PNP Début]]=0,0,MIN(Horaires35673413[[#This Row],[PNP Fin corrigée]],fin_nuit)-MAX(Horaires35673413[[#This Row],[PNP Début corrigé]],deb_nuit)))*24</f>
        <v>0</v>
      </c>
      <c r="P26" s="55">
        <f>(IF(WEEKDAY(Horaires35673413[[#This Row],[Date]],2)=7,MAX(0,MIN(fin_dimJF,Horaires35673413[[#This Row],[Fin corrigée si nuit]])-MAX(deb_dimJF,Horaires35673413[[#This Row],[début]])),0)+IF(WEEKDAY(Horaires35673413[[#This Row],[Date]],2)=6,MAX(0,Horaires35673413[[#This Row],[Fin corrigée si nuit]]-(1+deb_dimJF)),0))*24</f>
        <v>0</v>
      </c>
      <c r="Q26" s="55">
        <f>(IF(WEEKDAY(Horaires35673413[[#This Row],[Date]],2)=7,MAX(0,MIN(fin_dimJF,Horaires35673413[[#This Row],[Fin corrigée si nuit]])-MAX(deb_dimJF,Horaires35673413[[#This Row],[début]])),0)+IF(WEEKDAY(Horaires35673413[[#This Row],[Date]],2)=6,MAX(0,Horaires35673413[[#This Row],[Fin corrigée si nuit]]-(1+deb_dimJF)),0))*24-
(IF(WEEKDAY(Horaires35673413[[#This Row],[Date]],2)=7,MAX(0,MIN(fin_dimJF,Horaires35673413[[#This Row],[PNP Fin corrigée]])-MAX(deb_dimJF,Horaires35673413[[#This Row],[PNP Début corrigé]])),0)+IF(WEEKDAY(Horaires35673413[[#This Row],[Date]],2)=6,MAX(0,Horaires35673413[[#This Row],[PNP Fin corrigée]]-(1+deb_dimJF)),0))*24</f>
        <v>0</v>
      </c>
      <c r="R26" s="55">
        <f>(IF(COUNTIF(JF,Horaires35673413[[#This Row],[Date]]),MAX(0,MIN(fin_dimJF,Horaires35673413[[#This Row],[Fin corrigée si nuit]])-MAX(deb_dimJF,Horaires35673413[[#This Row],[début]])),0)+IF(COUNTIF(JF,Horaires35673413[[#This Row],[Date]]+1),MAX(0,Horaires35673413[[#This Row],[Fin corrigée si nuit]]-(1+deb_dimJF)),0))*24</f>
        <v>0</v>
      </c>
      <c r="S26" s="55">
        <f>(IF(COUNTIF(JF,Horaires35673413[[#This Row],[Date]]),MAX(0,MIN(fin_dimJF,Horaires35673413[[#This Row],[Fin corrigée si nuit]])-MAX(deb_dimJF,Horaires35673413[[#This Row],[début]])),0)+IF(COUNTIF(JF,Horaires35673413[[#This Row],[Date]]+1),MAX(0,Horaires35673413[[#This Row],[Fin corrigée si nuit]]-(1+deb_dimJF)),0))*24-
(IF(COUNTIF(JF,Horaires35673413[[#This Row],[Date]]),MAX(0,MIN(fin_dimJF,Horaires35673413[[#This Row],[PNP Fin corrigée]])-MAX(deb_dimJF,Horaires35673413[[#This Row],[PNP Début corrigé]])),0)+IF(COUNTIF(JF,Horaires35673413[[#This Row],[Date]]+1),MAX(0,Horaires35673413[[#This Row],[PNP Fin corrigée]]-(1+deb_dimJF)),0))*24</f>
        <v>0</v>
      </c>
    </row>
    <row r="27" spans="1:19" x14ac:dyDescent="0.35">
      <c r="A27" s="5"/>
      <c r="B27" s="1"/>
      <c r="C27" s="2"/>
      <c r="D27" s="2"/>
      <c r="E27" s="3"/>
      <c r="F27" s="3"/>
      <c r="G27" s="3"/>
      <c r="H27" s="3"/>
      <c r="I27" s="51">
        <f>0.1*(Horaires35673413[[#This Row],[Heures de nuit]]+Horaires35673413[[#This Row],[heures jour dimanche]]+Horaires35673413[[#This Row],[heures jour fériés]])</f>
        <v>0</v>
      </c>
      <c r="J27" s="52">
        <f>(MOD(Horaires35673413[[#This Row],[Fin]]-Horaires35673413[[#This Row],[début]],1)-MOD(Horaires35673413[[#This Row],[PNP Fin]]-Horaires35673413[[#This Row],[PNP Début]],1))*24</f>
        <v>0</v>
      </c>
      <c r="K27" s="53">
        <f>IF(Horaires35673413[[#This Row],[PNP Début]]=0,0,IF(Horaires35673413[[#This Row],[PNP Début]]&lt;Horaires35673413[[#This Row],[début]],1,0)+Horaires35673413[[#This Row],[PNP Début]])</f>
        <v>0</v>
      </c>
      <c r="L27" s="54">
        <f>IF(Horaires35673413[[#This Row],[PNP Fin]]=0,0,IF(Horaires35673413[[#This Row],[PNP Fin]]&lt;Horaires35673413[[#This Row],[début]],1,0)+Horaires35673413[[#This Row],[PNP Fin]])</f>
        <v>0</v>
      </c>
      <c r="M27" s="54">
        <f>IF(Horaires35673413[[#This Row],[Fin]]&lt;Horaires35673413[[#This Row],[début]],1,0)+Horaires35673413[[#This Row],[Fin]]</f>
        <v>0</v>
      </c>
      <c r="N27" s="35">
        <f>IF(Horaires35673413[[#This Row],[Fin]]&lt;Horaires35673413[[#This Row],[début]],MAX(0,MIN(Horaires35673413[[#This Row],[Fin corrigée si nuit]],fin_nuit)-MAX(Horaires35673413[[#This Row],[début]],deb_nuit))*24,(MAX(deb_nuit,Horaires35673413[[#This Row],[Fin]])-MAX(deb_nuit,Horaires35673413[[#This Row],[début]])+MAX(MIN(fin_nuit-1,Horaires35673413[[#This Row],[Fin]])-MIN(fin_nuit-1,Horaires35673413[[#This Row],[début]]),0))*24)</f>
        <v>0</v>
      </c>
      <c r="O27" s="55">
        <f>(MAX(0,MIN(Horaires35673413[[#This Row],[Fin corrigée si nuit]],fin_nuit)-MAX(Horaires35673413[[#This Row],[début]],deb_nuit))-IF(Horaires35673413[[#This Row],[PNP Début]]=0,0,MIN(Horaires35673413[[#This Row],[PNP Fin corrigée]],fin_nuit)-MAX(Horaires35673413[[#This Row],[PNP Début corrigé]],deb_nuit)))*24</f>
        <v>0</v>
      </c>
      <c r="P27" s="55">
        <f>(IF(WEEKDAY(Horaires35673413[[#This Row],[Date]],2)=7,MAX(0,MIN(fin_dimJF,Horaires35673413[[#This Row],[Fin corrigée si nuit]])-MAX(deb_dimJF,Horaires35673413[[#This Row],[début]])),0)+IF(WEEKDAY(Horaires35673413[[#This Row],[Date]],2)=6,MAX(0,Horaires35673413[[#This Row],[Fin corrigée si nuit]]-(1+deb_dimJF)),0))*24</f>
        <v>0</v>
      </c>
      <c r="Q27" s="55">
        <f>(IF(WEEKDAY(Horaires35673413[[#This Row],[Date]],2)=7,MAX(0,MIN(fin_dimJF,Horaires35673413[[#This Row],[Fin corrigée si nuit]])-MAX(deb_dimJF,Horaires35673413[[#This Row],[début]])),0)+IF(WEEKDAY(Horaires35673413[[#This Row],[Date]],2)=6,MAX(0,Horaires35673413[[#This Row],[Fin corrigée si nuit]]-(1+deb_dimJF)),0))*24-
(IF(WEEKDAY(Horaires35673413[[#This Row],[Date]],2)=7,MAX(0,MIN(fin_dimJF,Horaires35673413[[#This Row],[PNP Fin corrigée]])-MAX(deb_dimJF,Horaires35673413[[#This Row],[PNP Début corrigé]])),0)+IF(WEEKDAY(Horaires35673413[[#This Row],[Date]],2)=6,MAX(0,Horaires35673413[[#This Row],[PNP Fin corrigée]]-(1+deb_dimJF)),0))*24</f>
        <v>0</v>
      </c>
      <c r="R27" s="55">
        <f>(IF(COUNTIF(JF,Horaires35673413[[#This Row],[Date]]),MAX(0,MIN(fin_dimJF,Horaires35673413[[#This Row],[Fin corrigée si nuit]])-MAX(deb_dimJF,Horaires35673413[[#This Row],[début]])),0)+IF(COUNTIF(JF,Horaires35673413[[#This Row],[Date]]+1),MAX(0,Horaires35673413[[#This Row],[Fin corrigée si nuit]]-(1+deb_dimJF)),0))*24</f>
        <v>0</v>
      </c>
      <c r="S27" s="55">
        <f>(IF(COUNTIF(JF,Horaires35673413[[#This Row],[Date]]),MAX(0,MIN(fin_dimJF,Horaires35673413[[#This Row],[Fin corrigée si nuit]])-MAX(deb_dimJF,Horaires35673413[[#This Row],[début]])),0)+IF(COUNTIF(JF,Horaires35673413[[#This Row],[Date]]+1),MAX(0,Horaires35673413[[#This Row],[Fin corrigée si nuit]]-(1+deb_dimJF)),0))*24-
(IF(COUNTIF(JF,Horaires35673413[[#This Row],[Date]]),MAX(0,MIN(fin_dimJF,Horaires35673413[[#This Row],[PNP Fin corrigée]])-MAX(deb_dimJF,Horaires35673413[[#This Row],[PNP Début corrigé]])),0)+IF(COUNTIF(JF,Horaires35673413[[#This Row],[Date]]+1),MAX(0,Horaires35673413[[#This Row],[PNP Fin corrigée]]-(1+deb_dimJF)),0))*24</f>
        <v>0</v>
      </c>
    </row>
    <row r="28" spans="1:19" x14ac:dyDescent="0.35">
      <c r="A28" s="5"/>
      <c r="B28" s="1"/>
      <c r="C28" s="2"/>
      <c r="D28" s="2"/>
      <c r="E28" s="3"/>
      <c r="F28" s="3"/>
      <c r="G28" s="3"/>
      <c r="H28" s="3"/>
      <c r="I28" s="51">
        <f>0.1*(Horaires35673413[[#This Row],[Heures de nuit]]+Horaires35673413[[#This Row],[heures jour dimanche]]+Horaires35673413[[#This Row],[heures jour fériés]])</f>
        <v>0</v>
      </c>
      <c r="J28" s="52">
        <f>(MOD(Horaires35673413[[#This Row],[Fin]]-Horaires35673413[[#This Row],[début]],1)-MOD(Horaires35673413[[#This Row],[PNP Fin]]-Horaires35673413[[#This Row],[PNP Début]],1))*24</f>
        <v>0</v>
      </c>
      <c r="K28" s="53">
        <f>IF(Horaires35673413[[#This Row],[PNP Début]]=0,0,IF(Horaires35673413[[#This Row],[PNP Début]]&lt;Horaires35673413[[#This Row],[début]],1,0)+Horaires35673413[[#This Row],[PNP Début]])</f>
        <v>0</v>
      </c>
      <c r="L28" s="54">
        <f>IF(Horaires35673413[[#This Row],[PNP Fin]]=0,0,IF(Horaires35673413[[#This Row],[PNP Fin]]&lt;Horaires35673413[[#This Row],[début]],1,0)+Horaires35673413[[#This Row],[PNP Fin]])</f>
        <v>0</v>
      </c>
      <c r="M28" s="54">
        <f>IF(Horaires35673413[[#This Row],[Fin]]&lt;Horaires35673413[[#This Row],[début]],1,0)+Horaires35673413[[#This Row],[Fin]]</f>
        <v>0</v>
      </c>
      <c r="N28" s="35">
        <f>IF(Horaires35673413[[#This Row],[Fin]]&lt;Horaires35673413[[#This Row],[début]],MAX(0,MIN(Horaires35673413[[#This Row],[Fin corrigée si nuit]],fin_nuit)-MAX(Horaires35673413[[#This Row],[début]],deb_nuit))*24,(MAX(deb_nuit,Horaires35673413[[#This Row],[Fin]])-MAX(deb_nuit,Horaires35673413[[#This Row],[début]])+MAX(MIN(fin_nuit-1,Horaires35673413[[#This Row],[Fin]])-MIN(fin_nuit-1,Horaires35673413[[#This Row],[début]]),0))*24)</f>
        <v>0</v>
      </c>
      <c r="O28" s="55">
        <f>(MAX(0,MIN(Horaires35673413[[#This Row],[Fin corrigée si nuit]],fin_nuit)-MAX(Horaires35673413[[#This Row],[début]],deb_nuit))-IF(Horaires35673413[[#This Row],[PNP Début]]=0,0,MIN(Horaires35673413[[#This Row],[PNP Fin corrigée]],fin_nuit)-MAX(Horaires35673413[[#This Row],[PNP Début corrigé]],deb_nuit)))*24</f>
        <v>0</v>
      </c>
      <c r="P28" s="55">
        <f>(IF(WEEKDAY(Horaires35673413[[#This Row],[Date]],2)=7,MAX(0,MIN(fin_dimJF,Horaires35673413[[#This Row],[Fin corrigée si nuit]])-MAX(deb_dimJF,Horaires35673413[[#This Row],[début]])),0)+IF(WEEKDAY(Horaires35673413[[#This Row],[Date]],2)=6,MAX(0,Horaires35673413[[#This Row],[Fin corrigée si nuit]]-(1+deb_dimJF)),0))*24</f>
        <v>0</v>
      </c>
      <c r="Q28" s="55">
        <f>(IF(WEEKDAY(Horaires35673413[[#This Row],[Date]],2)=7,MAX(0,MIN(fin_dimJF,Horaires35673413[[#This Row],[Fin corrigée si nuit]])-MAX(deb_dimJF,Horaires35673413[[#This Row],[début]])),0)+IF(WEEKDAY(Horaires35673413[[#This Row],[Date]],2)=6,MAX(0,Horaires35673413[[#This Row],[Fin corrigée si nuit]]-(1+deb_dimJF)),0))*24-
(IF(WEEKDAY(Horaires35673413[[#This Row],[Date]],2)=7,MAX(0,MIN(fin_dimJF,Horaires35673413[[#This Row],[PNP Fin corrigée]])-MAX(deb_dimJF,Horaires35673413[[#This Row],[PNP Début corrigé]])),0)+IF(WEEKDAY(Horaires35673413[[#This Row],[Date]],2)=6,MAX(0,Horaires35673413[[#This Row],[PNP Fin corrigée]]-(1+deb_dimJF)),0))*24</f>
        <v>0</v>
      </c>
      <c r="R28" s="55">
        <f>(IF(COUNTIF(JF,Horaires35673413[[#This Row],[Date]]),MAX(0,MIN(fin_dimJF,Horaires35673413[[#This Row],[Fin corrigée si nuit]])-MAX(deb_dimJF,Horaires35673413[[#This Row],[début]])),0)+IF(COUNTIF(JF,Horaires35673413[[#This Row],[Date]]+1),MAX(0,Horaires35673413[[#This Row],[Fin corrigée si nuit]]-(1+deb_dimJF)),0))*24</f>
        <v>0</v>
      </c>
      <c r="S28" s="55">
        <f>(IF(COUNTIF(JF,Horaires35673413[[#This Row],[Date]]),MAX(0,MIN(fin_dimJF,Horaires35673413[[#This Row],[Fin corrigée si nuit]])-MAX(deb_dimJF,Horaires35673413[[#This Row],[début]])),0)+IF(COUNTIF(JF,Horaires35673413[[#This Row],[Date]]+1),MAX(0,Horaires35673413[[#This Row],[Fin corrigée si nuit]]-(1+deb_dimJF)),0))*24-
(IF(COUNTIF(JF,Horaires35673413[[#This Row],[Date]]),MAX(0,MIN(fin_dimJF,Horaires35673413[[#This Row],[PNP Fin corrigée]])-MAX(deb_dimJF,Horaires35673413[[#This Row],[PNP Début corrigé]])),0)+IF(COUNTIF(JF,Horaires35673413[[#This Row],[Date]]+1),MAX(0,Horaires35673413[[#This Row],[PNP Fin corrigée]]-(1+deb_dimJF)),0))*24</f>
        <v>0</v>
      </c>
    </row>
    <row r="29" spans="1:19" x14ac:dyDescent="0.35">
      <c r="A29" s="5"/>
      <c r="B29" s="1"/>
      <c r="C29" s="2"/>
      <c r="D29" s="2"/>
      <c r="E29" s="3"/>
      <c r="F29" s="3"/>
      <c r="G29" s="3"/>
      <c r="H29" s="3"/>
      <c r="I29" s="51">
        <f>0.1*(Horaires35673413[[#This Row],[Heures de nuit]]+Horaires35673413[[#This Row],[heures jour dimanche]]+Horaires35673413[[#This Row],[heures jour fériés]])</f>
        <v>0</v>
      </c>
      <c r="J29" s="52">
        <f>(MOD(Horaires35673413[[#This Row],[Fin]]-Horaires35673413[[#This Row],[début]],1)-MOD(Horaires35673413[[#This Row],[PNP Fin]]-Horaires35673413[[#This Row],[PNP Début]],1))*24</f>
        <v>0</v>
      </c>
      <c r="K29" s="53">
        <f>IF(Horaires35673413[[#This Row],[PNP Début]]=0,0,IF(Horaires35673413[[#This Row],[PNP Début]]&lt;Horaires35673413[[#This Row],[début]],1,0)+Horaires35673413[[#This Row],[PNP Début]])</f>
        <v>0</v>
      </c>
      <c r="L29" s="54">
        <f>IF(Horaires35673413[[#This Row],[PNP Fin]]=0,0,IF(Horaires35673413[[#This Row],[PNP Fin]]&lt;Horaires35673413[[#This Row],[début]],1,0)+Horaires35673413[[#This Row],[PNP Fin]])</f>
        <v>0</v>
      </c>
      <c r="M29" s="54">
        <f>IF(Horaires35673413[[#This Row],[Fin]]&lt;Horaires35673413[[#This Row],[début]],1,0)+Horaires35673413[[#This Row],[Fin]]</f>
        <v>0</v>
      </c>
      <c r="N29" s="35">
        <f>IF(Horaires35673413[[#This Row],[Fin]]&lt;Horaires35673413[[#This Row],[début]],MAX(0,MIN(Horaires35673413[[#This Row],[Fin corrigée si nuit]],fin_nuit)-MAX(Horaires35673413[[#This Row],[début]],deb_nuit))*24,(MAX(deb_nuit,Horaires35673413[[#This Row],[Fin]])-MAX(deb_nuit,Horaires35673413[[#This Row],[début]])+MAX(MIN(fin_nuit-1,Horaires35673413[[#This Row],[Fin]])-MIN(fin_nuit-1,Horaires35673413[[#This Row],[début]]),0))*24)</f>
        <v>0</v>
      </c>
      <c r="O29" s="55">
        <f>(MAX(0,MIN(Horaires35673413[[#This Row],[Fin corrigée si nuit]],fin_nuit)-MAX(Horaires35673413[[#This Row],[début]],deb_nuit))-IF(Horaires35673413[[#This Row],[PNP Début]]=0,0,MIN(Horaires35673413[[#This Row],[PNP Fin corrigée]],fin_nuit)-MAX(Horaires35673413[[#This Row],[PNP Début corrigé]],deb_nuit)))*24</f>
        <v>0</v>
      </c>
      <c r="P29" s="55">
        <f>(IF(WEEKDAY(Horaires35673413[[#This Row],[Date]],2)=7,MAX(0,MIN(fin_dimJF,Horaires35673413[[#This Row],[Fin corrigée si nuit]])-MAX(deb_dimJF,Horaires35673413[[#This Row],[début]])),0)+IF(WEEKDAY(Horaires35673413[[#This Row],[Date]],2)=6,MAX(0,Horaires35673413[[#This Row],[Fin corrigée si nuit]]-(1+deb_dimJF)),0))*24</f>
        <v>0</v>
      </c>
      <c r="Q29" s="55">
        <f>(IF(WEEKDAY(Horaires35673413[[#This Row],[Date]],2)=7,MAX(0,MIN(fin_dimJF,Horaires35673413[[#This Row],[Fin corrigée si nuit]])-MAX(deb_dimJF,Horaires35673413[[#This Row],[début]])),0)+IF(WEEKDAY(Horaires35673413[[#This Row],[Date]],2)=6,MAX(0,Horaires35673413[[#This Row],[Fin corrigée si nuit]]-(1+deb_dimJF)),0))*24-
(IF(WEEKDAY(Horaires35673413[[#This Row],[Date]],2)=7,MAX(0,MIN(fin_dimJF,Horaires35673413[[#This Row],[PNP Fin corrigée]])-MAX(deb_dimJF,Horaires35673413[[#This Row],[PNP Début corrigé]])),0)+IF(WEEKDAY(Horaires35673413[[#This Row],[Date]],2)=6,MAX(0,Horaires35673413[[#This Row],[PNP Fin corrigée]]-(1+deb_dimJF)),0))*24</f>
        <v>0</v>
      </c>
      <c r="R29" s="55">
        <f>(IF(COUNTIF(JF,Horaires35673413[[#This Row],[Date]]),MAX(0,MIN(fin_dimJF,Horaires35673413[[#This Row],[Fin corrigée si nuit]])-MAX(deb_dimJF,Horaires35673413[[#This Row],[début]])),0)+IF(COUNTIF(JF,Horaires35673413[[#This Row],[Date]]+1),MAX(0,Horaires35673413[[#This Row],[Fin corrigée si nuit]]-(1+deb_dimJF)),0))*24</f>
        <v>0</v>
      </c>
      <c r="S29" s="55">
        <f>(IF(COUNTIF(JF,Horaires35673413[[#This Row],[Date]]),MAX(0,MIN(fin_dimJF,Horaires35673413[[#This Row],[Fin corrigée si nuit]])-MAX(deb_dimJF,Horaires35673413[[#This Row],[début]])),0)+IF(COUNTIF(JF,Horaires35673413[[#This Row],[Date]]+1),MAX(0,Horaires35673413[[#This Row],[Fin corrigée si nuit]]-(1+deb_dimJF)),0))*24-
(IF(COUNTIF(JF,Horaires35673413[[#This Row],[Date]]),MAX(0,MIN(fin_dimJF,Horaires35673413[[#This Row],[PNP Fin corrigée]])-MAX(deb_dimJF,Horaires35673413[[#This Row],[PNP Début corrigé]])),0)+IF(COUNTIF(JF,Horaires35673413[[#This Row],[Date]]+1),MAX(0,Horaires35673413[[#This Row],[PNP Fin corrigée]]-(1+deb_dimJF)),0))*24</f>
        <v>0</v>
      </c>
    </row>
    <row r="30" spans="1:19" x14ac:dyDescent="0.35">
      <c r="A30" s="5"/>
      <c r="B30" s="1"/>
      <c r="C30" s="2"/>
      <c r="D30" s="2"/>
      <c r="E30" s="3"/>
      <c r="F30" s="3"/>
      <c r="G30" s="3"/>
      <c r="H30" s="3"/>
      <c r="I30" s="51">
        <f>0.1*(Horaires35673413[[#This Row],[Heures de nuit]]+Horaires35673413[[#This Row],[heures jour dimanche]]+Horaires35673413[[#This Row],[heures jour fériés]])</f>
        <v>0</v>
      </c>
      <c r="J30" s="52">
        <f>(MOD(Horaires35673413[[#This Row],[Fin]]-Horaires35673413[[#This Row],[début]],1)-MOD(Horaires35673413[[#This Row],[PNP Fin]]-Horaires35673413[[#This Row],[PNP Début]],1))*24</f>
        <v>0</v>
      </c>
      <c r="K30" s="53">
        <f>IF(Horaires35673413[[#This Row],[PNP Début]]=0,0,IF(Horaires35673413[[#This Row],[PNP Début]]&lt;Horaires35673413[[#This Row],[début]],1,0)+Horaires35673413[[#This Row],[PNP Début]])</f>
        <v>0</v>
      </c>
      <c r="L30" s="54">
        <f>IF(Horaires35673413[[#This Row],[PNP Fin]]=0,0,IF(Horaires35673413[[#This Row],[PNP Fin]]&lt;Horaires35673413[[#This Row],[début]],1,0)+Horaires35673413[[#This Row],[PNP Fin]])</f>
        <v>0</v>
      </c>
      <c r="M30" s="54">
        <f>IF(Horaires35673413[[#This Row],[Fin]]&lt;Horaires35673413[[#This Row],[début]],1,0)+Horaires35673413[[#This Row],[Fin]]</f>
        <v>0</v>
      </c>
      <c r="N30" s="35">
        <f>IF(Horaires35673413[[#This Row],[Fin]]&lt;Horaires35673413[[#This Row],[début]],MAX(0,MIN(Horaires35673413[[#This Row],[Fin corrigée si nuit]],fin_nuit)-MAX(Horaires35673413[[#This Row],[début]],deb_nuit))*24,(MAX(deb_nuit,Horaires35673413[[#This Row],[Fin]])-MAX(deb_nuit,Horaires35673413[[#This Row],[début]])+MAX(MIN(fin_nuit-1,Horaires35673413[[#This Row],[Fin]])-MIN(fin_nuit-1,Horaires35673413[[#This Row],[début]]),0))*24)</f>
        <v>0</v>
      </c>
      <c r="O30" s="55">
        <f>(MAX(0,MIN(Horaires35673413[[#This Row],[Fin corrigée si nuit]],fin_nuit)-MAX(Horaires35673413[[#This Row],[début]],deb_nuit))-IF(Horaires35673413[[#This Row],[PNP Début]]=0,0,MIN(Horaires35673413[[#This Row],[PNP Fin corrigée]],fin_nuit)-MAX(Horaires35673413[[#This Row],[PNP Début corrigé]],deb_nuit)))*24</f>
        <v>0</v>
      </c>
      <c r="P30" s="55">
        <f>(IF(WEEKDAY(Horaires35673413[[#This Row],[Date]],2)=7,MAX(0,MIN(fin_dimJF,Horaires35673413[[#This Row],[Fin corrigée si nuit]])-MAX(deb_dimJF,Horaires35673413[[#This Row],[début]])),0)+IF(WEEKDAY(Horaires35673413[[#This Row],[Date]],2)=6,MAX(0,Horaires35673413[[#This Row],[Fin corrigée si nuit]]-(1+deb_dimJF)),0))*24</f>
        <v>0</v>
      </c>
      <c r="Q30" s="55">
        <f>(IF(WEEKDAY(Horaires35673413[[#This Row],[Date]],2)=7,MAX(0,MIN(fin_dimJF,Horaires35673413[[#This Row],[Fin corrigée si nuit]])-MAX(deb_dimJF,Horaires35673413[[#This Row],[début]])),0)+IF(WEEKDAY(Horaires35673413[[#This Row],[Date]],2)=6,MAX(0,Horaires35673413[[#This Row],[Fin corrigée si nuit]]-(1+deb_dimJF)),0))*24-
(IF(WEEKDAY(Horaires35673413[[#This Row],[Date]],2)=7,MAX(0,MIN(fin_dimJF,Horaires35673413[[#This Row],[PNP Fin corrigée]])-MAX(deb_dimJF,Horaires35673413[[#This Row],[PNP Début corrigé]])),0)+IF(WEEKDAY(Horaires35673413[[#This Row],[Date]],2)=6,MAX(0,Horaires35673413[[#This Row],[PNP Fin corrigée]]-(1+deb_dimJF)),0))*24</f>
        <v>0</v>
      </c>
      <c r="R30" s="55">
        <f>(IF(COUNTIF(JF,Horaires35673413[[#This Row],[Date]]),MAX(0,MIN(fin_dimJF,Horaires35673413[[#This Row],[Fin corrigée si nuit]])-MAX(deb_dimJF,Horaires35673413[[#This Row],[début]])),0)+IF(COUNTIF(JF,Horaires35673413[[#This Row],[Date]]+1),MAX(0,Horaires35673413[[#This Row],[Fin corrigée si nuit]]-(1+deb_dimJF)),0))*24</f>
        <v>0</v>
      </c>
      <c r="S30" s="55">
        <f>(IF(COUNTIF(JF,Horaires35673413[[#This Row],[Date]]),MAX(0,MIN(fin_dimJF,Horaires35673413[[#This Row],[Fin corrigée si nuit]])-MAX(deb_dimJF,Horaires35673413[[#This Row],[début]])),0)+IF(COUNTIF(JF,Horaires35673413[[#This Row],[Date]]+1),MAX(0,Horaires35673413[[#This Row],[Fin corrigée si nuit]]-(1+deb_dimJF)),0))*24-
(IF(COUNTIF(JF,Horaires35673413[[#This Row],[Date]]),MAX(0,MIN(fin_dimJF,Horaires35673413[[#This Row],[PNP Fin corrigée]])-MAX(deb_dimJF,Horaires35673413[[#This Row],[PNP Début corrigé]])),0)+IF(COUNTIF(JF,Horaires35673413[[#This Row],[Date]]+1),MAX(0,Horaires35673413[[#This Row],[PNP Fin corrigée]]-(1+deb_dimJF)),0))*24</f>
        <v>0</v>
      </c>
    </row>
    <row r="31" spans="1:19" x14ac:dyDescent="0.35">
      <c r="A31" s="5"/>
      <c r="B31" s="1"/>
      <c r="C31" s="2"/>
      <c r="D31" s="2"/>
      <c r="E31" s="3"/>
      <c r="F31" s="3"/>
      <c r="G31" s="3"/>
      <c r="H31" s="3"/>
      <c r="I31" s="51">
        <f>0.1*(Horaires35673413[[#This Row],[Heures de nuit]]+Horaires35673413[[#This Row],[heures jour dimanche]]+Horaires35673413[[#This Row],[heures jour fériés]])</f>
        <v>0</v>
      </c>
      <c r="J31" s="52">
        <f>(MOD(Horaires35673413[[#This Row],[Fin]]-Horaires35673413[[#This Row],[début]],1)-MOD(Horaires35673413[[#This Row],[PNP Fin]]-Horaires35673413[[#This Row],[PNP Début]],1))*24</f>
        <v>0</v>
      </c>
      <c r="K31" s="53">
        <f>IF(Horaires35673413[[#This Row],[PNP Début]]=0,0,IF(Horaires35673413[[#This Row],[PNP Début]]&lt;Horaires35673413[[#This Row],[début]],1,0)+Horaires35673413[[#This Row],[PNP Début]])</f>
        <v>0</v>
      </c>
      <c r="L31" s="54">
        <f>IF(Horaires35673413[[#This Row],[PNP Fin]]=0,0,IF(Horaires35673413[[#This Row],[PNP Fin]]&lt;Horaires35673413[[#This Row],[début]],1,0)+Horaires35673413[[#This Row],[PNP Fin]])</f>
        <v>0</v>
      </c>
      <c r="M31" s="54">
        <f>IF(Horaires35673413[[#This Row],[Fin]]&lt;Horaires35673413[[#This Row],[début]],1,0)+Horaires35673413[[#This Row],[Fin]]</f>
        <v>0</v>
      </c>
      <c r="N31" s="35">
        <f>IF(Horaires35673413[[#This Row],[Fin]]&lt;Horaires35673413[[#This Row],[début]],MAX(0,MIN(Horaires35673413[[#This Row],[Fin corrigée si nuit]],fin_nuit)-MAX(Horaires35673413[[#This Row],[début]],deb_nuit))*24,(MAX(deb_nuit,Horaires35673413[[#This Row],[Fin]])-MAX(deb_nuit,Horaires35673413[[#This Row],[début]])+MAX(MIN(fin_nuit-1,Horaires35673413[[#This Row],[Fin]])-MIN(fin_nuit-1,Horaires35673413[[#This Row],[début]]),0))*24)</f>
        <v>0</v>
      </c>
      <c r="O31" s="55">
        <f>(MAX(0,MIN(Horaires35673413[[#This Row],[Fin corrigée si nuit]],fin_nuit)-MAX(Horaires35673413[[#This Row],[début]],deb_nuit))-IF(Horaires35673413[[#This Row],[PNP Début]]=0,0,MIN(Horaires35673413[[#This Row],[PNP Fin corrigée]],fin_nuit)-MAX(Horaires35673413[[#This Row],[PNP Début corrigé]],deb_nuit)))*24</f>
        <v>0</v>
      </c>
      <c r="P31" s="55">
        <f>(IF(WEEKDAY(Horaires35673413[[#This Row],[Date]],2)=7,MAX(0,MIN(fin_dimJF,Horaires35673413[[#This Row],[Fin corrigée si nuit]])-MAX(deb_dimJF,Horaires35673413[[#This Row],[début]])),0)+IF(WEEKDAY(Horaires35673413[[#This Row],[Date]],2)=6,MAX(0,Horaires35673413[[#This Row],[Fin corrigée si nuit]]-(1+deb_dimJF)),0))*24</f>
        <v>0</v>
      </c>
      <c r="Q31" s="55">
        <f>(IF(WEEKDAY(Horaires35673413[[#This Row],[Date]],2)=7,MAX(0,MIN(fin_dimJF,Horaires35673413[[#This Row],[Fin corrigée si nuit]])-MAX(deb_dimJF,Horaires35673413[[#This Row],[début]])),0)+IF(WEEKDAY(Horaires35673413[[#This Row],[Date]],2)=6,MAX(0,Horaires35673413[[#This Row],[Fin corrigée si nuit]]-(1+deb_dimJF)),0))*24-
(IF(WEEKDAY(Horaires35673413[[#This Row],[Date]],2)=7,MAX(0,MIN(fin_dimJF,Horaires35673413[[#This Row],[PNP Fin corrigée]])-MAX(deb_dimJF,Horaires35673413[[#This Row],[PNP Début corrigé]])),0)+IF(WEEKDAY(Horaires35673413[[#This Row],[Date]],2)=6,MAX(0,Horaires35673413[[#This Row],[PNP Fin corrigée]]-(1+deb_dimJF)),0))*24</f>
        <v>0</v>
      </c>
      <c r="R31" s="55">
        <f>(IF(COUNTIF(JF,Horaires35673413[[#This Row],[Date]]),MAX(0,MIN(fin_dimJF,Horaires35673413[[#This Row],[Fin corrigée si nuit]])-MAX(deb_dimJF,Horaires35673413[[#This Row],[début]])),0)+IF(COUNTIF(JF,Horaires35673413[[#This Row],[Date]]+1),MAX(0,Horaires35673413[[#This Row],[Fin corrigée si nuit]]-(1+deb_dimJF)),0))*24</f>
        <v>0</v>
      </c>
      <c r="S31" s="55">
        <f>(IF(COUNTIF(JF,Horaires35673413[[#This Row],[Date]]),MAX(0,MIN(fin_dimJF,Horaires35673413[[#This Row],[Fin corrigée si nuit]])-MAX(deb_dimJF,Horaires35673413[[#This Row],[début]])),0)+IF(COUNTIF(JF,Horaires35673413[[#This Row],[Date]]+1),MAX(0,Horaires35673413[[#This Row],[Fin corrigée si nuit]]-(1+deb_dimJF)),0))*24-
(IF(COUNTIF(JF,Horaires35673413[[#This Row],[Date]]),MAX(0,MIN(fin_dimJF,Horaires35673413[[#This Row],[PNP Fin corrigée]])-MAX(deb_dimJF,Horaires35673413[[#This Row],[PNP Début corrigé]])),0)+IF(COUNTIF(JF,Horaires35673413[[#This Row],[Date]]+1),MAX(0,Horaires35673413[[#This Row],[PNP Fin corrigée]]-(1+deb_dimJF)),0))*24</f>
        <v>0</v>
      </c>
    </row>
    <row r="32" spans="1:19" ht="14.5" customHeight="1" x14ac:dyDescent="0.35">
      <c r="A32" s="5"/>
      <c r="B32" s="1"/>
      <c r="C32" s="2"/>
      <c r="D32" s="2"/>
      <c r="E32" s="3"/>
      <c r="F32" s="3"/>
      <c r="G32" s="3"/>
      <c r="H32" s="3"/>
      <c r="I32" s="51">
        <f>0.1*(Horaires35673413[[#This Row],[Heures de nuit]]+Horaires35673413[[#This Row],[heures jour dimanche]]+Horaires35673413[[#This Row],[heures jour fériés]])</f>
        <v>0</v>
      </c>
      <c r="J32" s="52">
        <f>(MOD(Horaires35673413[[#This Row],[Fin]]-Horaires35673413[[#This Row],[début]],1)-MOD(Horaires35673413[[#This Row],[PNP Fin]]-Horaires35673413[[#This Row],[PNP Début]],1))*24</f>
        <v>0</v>
      </c>
      <c r="K32" s="53">
        <f>IF(Horaires35673413[[#This Row],[PNP Début]]=0,0,IF(Horaires35673413[[#This Row],[PNP Début]]&lt;Horaires35673413[[#This Row],[début]],1,0)+Horaires35673413[[#This Row],[PNP Début]])</f>
        <v>0</v>
      </c>
      <c r="L32" s="54">
        <f>IF(Horaires35673413[[#This Row],[PNP Fin]]=0,0,IF(Horaires35673413[[#This Row],[PNP Fin]]&lt;Horaires35673413[[#This Row],[début]],1,0)+Horaires35673413[[#This Row],[PNP Fin]])</f>
        <v>0</v>
      </c>
      <c r="M32" s="54">
        <f>IF(Horaires35673413[[#This Row],[Fin]]&lt;Horaires35673413[[#This Row],[début]],1,0)+Horaires35673413[[#This Row],[Fin]]</f>
        <v>0</v>
      </c>
      <c r="N32" s="35">
        <f>IF(Horaires35673413[[#This Row],[Fin]]&lt;Horaires35673413[[#This Row],[début]],MAX(0,MIN(Horaires35673413[[#This Row],[Fin corrigée si nuit]],fin_nuit)-MAX(Horaires35673413[[#This Row],[début]],deb_nuit))*24,(MAX(deb_nuit,Horaires35673413[[#This Row],[Fin]])-MAX(deb_nuit,Horaires35673413[[#This Row],[début]])+MAX(MIN(fin_nuit-1,Horaires35673413[[#This Row],[Fin]])-MIN(fin_nuit-1,Horaires35673413[[#This Row],[début]]),0))*24)</f>
        <v>0</v>
      </c>
      <c r="O32" s="55">
        <f>(MAX(0,MIN(Horaires35673413[[#This Row],[Fin corrigée si nuit]],fin_nuit)-MAX(Horaires35673413[[#This Row],[début]],deb_nuit))-IF(Horaires35673413[[#This Row],[PNP Début]]=0,0,MIN(Horaires35673413[[#This Row],[PNP Fin corrigée]],fin_nuit)-MAX(Horaires35673413[[#This Row],[PNP Début corrigé]],deb_nuit)))*24</f>
        <v>0</v>
      </c>
      <c r="P32" s="55">
        <f>(IF(WEEKDAY(Horaires35673413[[#This Row],[Date]],2)=7,MAX(0,MIN(fin_dimJF,Horaires35673413[[#This Row],[Fin corrigée si nuit]])-MAX(deb_dimJF,Horaires35673413[[#This Row],[début]])),0)+IF(WEEKDAY(Horaires35673413[[#This Row],[Date]],2)=6,MAX(0,Horaires35673413[[#This Row],[Fin corrigée si nuit]]-(1+deb_dimJF)),0))*24</f>
        <v>0</v>
      </c>
      <c r="Q32" s="55">
        <f>(IF(WEEKDAY(Horaires35673413[[#This Row],[Date]],2)=7,MAX(0,MIN(fin_dimJF,Horaires35673413[[#This Row],[Fin corrigée si nuit]])-MAX(deb_dimJF,Horaires35673413[[#This Row],[début]])),0)+IF(WEEKDAY(Horaires35673413[[#This Row],[Date]],2)=6,MAX(0,Horaires35673413[[#This Row],[Fin corrigée si nuit]]-(1+deb_dimJF)),0))*24-
(IF(WEEKDAY(Horaires35673413[[#This Row],[Date]],2)=7,MAX(0,MIN(fin_dimJF,Horaires35673413[[#This Row],[PNP Fin corrigée]])-MAX(deb_dimJF,Horaires35673413[[#This Row],[PNP Début corrigé]])),0)+IF(WEEKDAY(Horaires35673413[[#This Row],[Date]],2)=6,MAX(0,Horaires35673413[[#This Row],[PNP Fin corrigée]]-(1+deb_dimJF)),0))*24</f>
        <v>0</v>
      </c>
      <c r="R32" s="55">
        <f>(IF(COUNTIF(JF,Horaires35673413[[#This Row],[Date]]),MAX(0,MIN(fin_dimJF,Horaires35673413[[#This Row],[Fin corrigée si nuit]])-MAX(deb_dimJF,Horaires35673413[[#This Row],[début]])),0)+IF(COUNTIF(JF,Horaires35673413[[#This Row],[Date]]+1),MAX(0,Horaires35673413[[#This Row],[Fin corrigée si nuit]]-(1+deb_dimJF)),0))*24</f>
        <v>0</v>
      </c>
      <c r="S32" s="55">
        <f>(IF(COUNTIF(JF,Horaires35673413[[#This Row],[Date]]),MAX(0,MIN(fin_dimJF,Horaires35673413[[#This Row],[Fin corrigée si nuit]])-MAX(deb_dimJF,Horaires35673413[[#This Row],[début]])),0)+IF(COUNTIF(JF,Horaires35673413[[#This Row],[Date]]+1),MAX(0,Horaires35673413[[#This Row],[Fin corrigée si nuit]]-(1+deb_dimJF)),0))*24-
(IF(COUNTIF(JF,Horaires35673413[[#This Row],[Date]]),MAX(0,MIN(fin_dimJF,Horaires35673413[[#This Row],[PNP Fin corrigée]])-MAX(deb_dimJF,Horaires35673413[[#This Row],[PNP Début corrigé]])),0)+IF(COUNTIF(JF,Horaires35673413[[#This Row],[Date]]+1),MAX(0,Horaires35673413[[#This Row],[PNP Fin corrigée]]-(1+deb_dimJF)),0))*24</f>
        <v>0</v>
      </c>
    </row>
    <row r="33" spans="1:19" x14ac:dyDescent="0.35">
      <c r="A33" s="5"/>
      <c r="B33" s="1"/>
      <c r="C33" s="2"/>
      <c r="D33" s="2"/>
      <c r="E33" s="3"/>
      <c r="F33" s="3"/>
      <c r="G33" s="3"/>
      <c r="H33" s="3"/>
      <c r="I33" s="51">
        <f>0.1*(Horaires35673413[[#This Row],[Heures de nuit]]+Horaires35673413[[#This Row],[heures jour dimanche]]+Horaires35673413[[#This Row],[heures jour fériés]])</f>
        <v>0</v>
      </c>
      <c r="J33" s="52">
        <f>(MOD(Horaires35673413[[#This Row],[Fin]]-Horaires35673413[[#This Row],[début]],1)-MOD(Horaires35673413[[#This Row],[PNP Fin]]-Horaires35673413[[#This Row],[PNP Début]],1))*24</f>
        <v>0</v>
      </c>
      <c r="K33" s="53">
        <f>IF(Horaires35673413[[#This Row],[PNP Début]]=0,0,IF(Horaires35673413[[#This Row],[PNP Début]]&lt;Horaires35673413[[#This Row],[début]],1,0)+Horaires35673413[[#This Row],[PNP Début]])</f>
        <v>0</v>
      </c>
      <c r="L33" s="54">
        <f>IF(Horaires35673413[[#This Row],[PNP Fin]]=0,0,IF(Horaires35673413[[#This Row],[PNP Fin]]&lt;Horaires35673413[[#This Row],[début]],1,0)+Horaires35673413[[#This Row],[PNP Fin]])</f>
        <v>0</v>
      </c>
      <c r="M33" s="54">
        <f>IF(Horaires35673413[[#This Row],[Fin]]&lt;Horaires35673413[[#This Row],[début]],1,0)+Horaires35673413[[#This Row],[Fin]]</f>
        <v>0</v>
      </c>
      <c r="N33" s="35">
        <f>IF(Horaires35673413[[#This Row],[Fin]]&lt;Horaires35673413[[#This Row],[début]],MAX(0,MIN(Horaires35673413[[#This Row],[Fin corrigée si nuit]],fin_nuit)-MAX(Horaires35673413[[#This Row],[début]],deb_nuit))*24,(MAX(deb_nuit,Horaires35673413[[#This Row],[Fin]])-MAX(deb_nuit,Horaires35673413[[#This Row],[début]])+MAX(MIN(fin_nuit-1,Horaires35673413[[#This Row],[Fin]])-MIN(fin_nuit-1,Horaires35673413[[#This Row],[début]]),0))*24)</f>
        <v>0</v>
      </c>
      <c r="O33" s="55">
        <f>(MAX(0,MIN(Horaires35673413[[#This Row],[Fin corrigée si nuit]],fin_nuit)-MAX(Horaires35673413[[#This Row],[début]],deb_nuit))-IF(Horaires35673413[[#This Row],[PNP Début]]=0,0,MIN(Horaires35673413[[#This Row],[PNP Fin corrigée]],fin_nuit)-MAX(Horaires35673413[[#This Row],[PNP Début corrigé]],deb_nuit)))*24</f>
        <v>0</v>
      </c>
      <c r="P33" s="55">
        <f>(IF(WEEKDAY(Horaires35673413[[#This Row],[Date]],2)=7,MAX(0,MIN(fin_dimJF,Horaires35673413[[#This Row],[Fin corrigée si nuit]])-MAX(deb_dimJF,Horaires35673413[[#This Row],[début]])),0)+IF(WEEKDAY(Horaires35673413[[#This Row],[Date]],2)=6,MAX(0,Horaires35673413[[#This Row],[Fin corrigée si nuit]]-(1+deb_dimJF)),0))*24</f>
        <v>0</v>
      </c>
      <c r="Q33" s="55">
        <f>(IF(WEEKDAY(Horaires35673413[[#This Row],[Date]],2)=7,MAX(0,MIN(fin_dimJF,Horaires35673413[[#This Row],[Fin corrigée si nuit]])-MAX(deb_dimJF,Horaires35673413[[#This Row],[début]])),0)+IF(WEEKDAY(Horaires35673413[[#This Row],[Date]],2)=6,MAX(0,Horaires35673413[[#This Row],[Fin corrigée si nuit]]-(1+deb_dimJF)),0))*24-
(IF(WEEKDAY(Horaires35673413[[#This Row],[Date]],2)=7,MAX(0,MIN(fin_dimJF,Horaires35673413[[#This Row],[PNP Fin corrigée]])-MAX(deb_dimJF,Horaires35673413[[#This Row],[PNP Début corrigé]])),0)+IF(WEEKDAY(Horaires35673413[[#This Row],[Date]],2)=6,MAX(0,Horaires35673413[[#This Row],[PNP Fin corrigée]]-(1+deb_dimJF)),0))*24</f>
        <v>0</v>
      </c>
      <c r="R33" s="55">
        <f>(IF(COUNTIF(JF,Horaires35673413[[#This Row],[Date]]),MAX(0,MIN(fin_dimJF,Horaires35673413[[#This Row],[Fin corrigée si nuit]])-MAX(deb_dimJF,Horaires35673413[[#This Row],[début]])),0)+IF(COUNTIF(JF,Horaires35673413[[#This Row],[Date]]+1),MAX(0,Horaires35673413[[#This Row],[Fin corrigée si nuit]]-(1+deb_dimJF)),0))*24</f>
        <v>0</v>
      </c>
      <c r="S33" s="55">
        <f>(IF(COUNTIF(JF,Horaires35673413[[#This Row],[Date]]),MAX(0,MIN(fin_dimJF,Horaires35673413[[#This Row],[Fin corrigée si nuit]])-MAX(deb_dimJF,Horaires35673413[[#This Row],[début]])),0)+IF(COUNTIF(JF,Horaires35673413[[#This Row],[Date]]+1),MAX(0,Horaires35673413[[#This Row],[Fin corrigée si nuit]]-(1+deb_dimJF)),0))*24-
(IF(COUNTIF(JF,Horaires35673413[[#This Row],[Date]]),MAX(0,MIN(fin_dimJF,Horaires35673413[[#This Row],[PNP Fin corrigée]])-MAX(deb_dimJF,Horaires35673413[[#This Row],[PNP Début corrigé]])),0)+IF(COUNTIF(JF,Horaires35673413[[#This Row],[Date]]+1),MAX(0,Horaires35673413[[#This Row],[PNP Fin corrigée]]-(1+deb_dimJF)),0))*24</f>
        <v>0</v>
      </c>
    </row>
    <row r="34" spans="1:19" x14ac:dyDescent="0.35">
      <c r="A34" s="5"/>
      <c r="B34" s="1"/>
      <c r="C34" s="2"/>
      <c r="D34" s="2"/>
      <c r="E34" s="3"/>
      <c r="F34" s="3"/>
      <c r="G34" s="3"/>
      <c r="H34" s="3"/>
      <c r="I34" s="51">
        <f>0.1*(Horaires35673413[[#This Row],[Heures de nuit]]+Horaires35673413[[#This Row],[heures jour dimanche]]+Horaires35673413[[#This Row],[heures jour fériés]])</f>
        <v>0</v>
      </c>
      <c r="J34" s="52">
        <f>(MOD(Horaires35673413[[#This Row],[Fin]]-Horaires35673413[[#This Row],[début]],1)-MOD(Horaires35673413[[#This Row],[PNP Fin]]-Horaires35673413[[#This Row],[PNP Début]],1))*24</f>
        <v>0</v>
      </c>
      <c r="K34" s="53">
        <f>IF(Horaires35673413[[#This Row],[PNP Début]]=0,0,IF(Horaires35673413[[#This Row],[PNP Début]]&lt;Horaires35673413[[#This Row],[début]],1,0)+Horaires35673413[[#This Row],[PNP Début]])</f>
        <v>0</v>
      </c>
      <c r="L34" s="54">
        <f>IF(Horaires35673413[[#This Row],[PNP Fin]]=0,0,IF(Horaires35673413[[#This Row],[PNP Fin]]&lt;Horaires35673413[[#This Row],[début]],1,0)+Horaires35673413[[#This Row],[PNP Fin]])</f>
        <v>0</v>
      </c>
      <c r="M34" s="54">
        <f>IF(Horaires35673413[[#This Row],[Fin]]&lt;Horaires35673413[[#This Row],[début]],1,0)+Horaires35673413[[#This Row],[Fin]]</f>
        <v>0</v>
      </c>
      <c r="N34" s="35">
        <f>IF(Horaires35673413[[#This Row],[Fin]]&lt;Horaires35673413[[#This Row],[début]],MAX(0,MIN(Horaires35673413[[#This Row],[Fin corrigée si nuit]],fin_nuit)-MAX(Horaires35673413[[#This Row],[début]],deb_nuit))*24,(MAX(deb_nuit,Horaires35673413[[#This Row],[Fin]])-MAX(deb_nuit,Horaires35673413[[#This Row],[début]])+MAX(MIN(fin_nuit-1,Horaires35673413[[#This Row],[Fin]])-MIN(fin_nuit-1,Horaires35673413[[#This Row],[début]]),0))*24)</f>
        <v>0</v>
      </c>
      <c r="O34" s="55">
        <f>(MAX(0,MIN(Horaires35673413[[#This Row],[Fin corrigée si nuit]],fin_nuit)-MAX(Horaires35673413[[#This Row],[début]],deb_nuit))-IF(Horaires35673413[[#This Row],[PNP Début]]=0,0,MIN(Horaires35673413[[#This Row],[PNP Fin corrigée]],fin_nuit)-MAX(Horaires35673413[[#This Row],[PNP Début corrigé]],deb_nuit)))*24</f>
        <v>0</v>
      </c>
      <c r="P34" s="55">
        <f>(IF(WEEKDAY(Horaires35673413[[#This Row],[Date]],2)=7,MAX(0,MIN(fin_dimJF,Horaires35673413[[#This Row],[Fin corrigée si nuit]])-MAX(deb_dimJF,Horaires35673413[[#This Row],[début]])),0)+IF(WEEKDAY(Horaires35673413[[#This Row],[Date]],2)=6,MAX(0,Horaires35673413[[#This Row],[Fin corrigée si nuit]]-(1+deb_dimJF)),0))*24</f>
        <v>0</v>
      </c>
      <c r="Q34" s="55">
        <f>(IF(WEEKDAY(Horaires35673413[[#This Row],[Date]],2)=7,MAX(0,MIN(fin_dimJF,Horaires35673413[[#This Row],[Fin corrigée si nuit]])-MAX(deb_dimJF,Horaires35673413[[#This Row],[début]])),0)+IF(WEEKDAY(Horaires35673413[[#This Row],[Date]],2)=6,MAX(0,Horaires35673413[[#This Row],[Fin corrigée si nuit]]-(1+deb_dimJF)),0))*24-
(IF(WEEKDAY(Horaires35673413[[#This Row],[Date]],2)=7,MAX(0,MIN(fin_dimJF,Horaires35673413[[#This Row],[PNP Fin corrigée]])-MAX(deb_dimJF,Horaires35673413[[#This Row],[PNP Début corrigé]])),0)+IF(WEEKDAY(Horaires35673413[[#This Row],[Date]],2)=6,MAX(0,Horaires35673413[[#This Row],[PNP Fin corrigée]]-(1+deb_dimJF)),0))*24</f>
        <v>0</v>
      </c>
      <c r="R34" s="55">
        <f>(IF(COUNTIF(JF,Horaires35673413[[#This Row],[Date]]),MAX(0,MIN(fin_dimJF,Horaires35673413[[#This Row],[Fin corrigée si nuit]])-MAX(deb_dimJF,Horaires35673413[[#This Row],[début]])),0)+IF(COUNTIF(JF,Horaires35673413[[#This Row],[Date]]+1),MAX(0,Horaires35673413[[#This Row],[Fin corrigée si nuit]]-(1+deb_dimJF)),0))*24</f>
        <v>0</v>
      </c>
      <c r="S34" s="55">
        <f>(IF(COUNTIF(JF,Horaires35673413[[#This Row],[Date]]),MAX(0,MIN(fin_dimJF,Horaires35673413[[#This Row],[Fin corrigée si nuit]])-MAX(deb_dimJF,Horaires35673413[[#This Row],[début]])),0)+IF(COUNTIF(JF,Horaires35673413[[#This Row],[Date]]+1),MAX(0,Horaires35673413[[#This Row],[Fin corrigée si nuit]]-(1+deb_dimJF)),0))*24-
(IF(COUNTIF(JF,Horaires35673413[[#This Row],[Date]]),MAX(0,MIN(fin_dimJF,Horaires35673413[[#This Row],[PNP Fin corrigée]])-MAX(deb_dimJF,Horaires35673413[[#This Row],[PNP Début corrigé]])),0)+IF(COUNTIF(JF,Horaires35673413[[#This Row],[Date]]+1),MAX(0,Horaires35673413[[#This Row],[PNP Fin corrigée]]-(1+deb_dimJF)),0))*24</f>
        <v>0</v>
      </c>
    </row>
    <row r="35" spans="1:19" x14ac:dyDescent="0.35">
      <c r="A35" s="5"/>
      <c r="B35" s="1"/>
      <c r="C35" s="2"/>
      <c r="D35" s="2"/>
      <c r="E35" s="3"/>
      <c r="F35" s="3"/>
      <c r="G35" s="3"/>
      <c r="H35" s="3"/>
      <c r="I35" s="51">
        <f>0.1*(Horaires35673413[[#This Row],[Heures de nuit]]+Horaires35673413[[#This Row],[heures jour dimanche]]+Horaires35673413[[#This Row],[heures jour fériés]])</f>
        <v>0</v>
      </c>
      <c r="J35" s="52">
        <f>(MOD(Horaires35673413[[#This Row],[Fin]]-Horaires35673413[[#This Row],[début]],1)-MOD(Horaires35673413[[#This Row],[PNP Fin]]-Horaires35673413[[#This Row],[PNP Début]],1))*24</f>
        <v>0</v>
      </c>
      <c r="K35" s="53">
        <f>IF(Horaires35673413[[#This Row],[PNP Début]]=0,0,IF(Horaires35673413[[#This Row],[PNP Début]]&lt;Horaires35673413[[#This Row],[début]],1,0)+Horaires35673413[[#This Row],[PNP Début]])</f>
        <v>0</v>
      </c>
      <c r="L35" s="54">
        <f>IF(Horaires35673413[[#This Row],[PNP Fin]]=0,0,IF(Horaires35673413[[#This Row],[PNP Fin]]&lt;Horaires35673413[[#This Row],[début]],1,0)+Horaires35673413[[#This Row],[PNP Fin]])</f>
        <v>0</v>
      </c>
      <c r="M35" s="54">
        <f>IF(Horaires35673413[[#This Row],[Fin]]&lt;Horaires35673413[[#This Row],[début]],1,0)+Horaires35673413[[#This Row],[Fin]]</f>
        <v>0</v>
      </c>
      <c r="N35" s="35">
        <f>IF(Horaires35673413[[#This Row],[Fin]]&lt;Horaires35673413[[#This Row],[début]],MAX(0,MIN(Horaires35673413[[#This Row],[Fin corrigée si nuit]],fin_nuit)-MAX(Horaires35673413[[#This Row],[début]],deb_nuit))*24,(MAX(deb_nuit,Horaires35673413[[#This Row],[Fin]])-MAX(deb_nuit,Horaires35673413[[#This Row],[début]])+MAX(MIN(fin_nuit-1,Horaires35673413[[#This Row],[Fin]])-MIN(fin_nuit-1,Horaires35673413[[#This Row],[début]]),0))*24)</f>
        <v>0</v>
      </c>
      <c r="O35" s="55">
        <f>(MAX(0,MIN(Horaires35673413[[#This Row],[Fin corrigée si nuit]],fin_nuit)-MAX(Horaires35673413[[#This Row],[début]],deb_nuit))-IF(Horaires35673413[[#This Row],[PNP Début]]=0,0,MIN(Horaires35673413[[#This Row],[PNP Fin corrigée]],fin_nuit)-MAX(Horaires35673413[[#This Row],[PNP Début corrigé]],deb_nuit)))*24</f>
        <v>0</v>
      </c>
      <c r="P35" s="55">
        <f>(IF(WEEKDAY(Horaires35673413[[#This Row],[Date]],2)=7,MAX(0,MIN(fin_dimJF,Horaires35673413[[#This Row],[Fin corrigée si nuit]])-MAX(deb_dimJF,Horaires35673413[[#This Row],[début]])),0)+IF(WEEKDAY(Horaires35673413[[#This Row],[Date]],2)=6,MAX(0,Horaires35673413[[#This Row],[Fin corrigée si nuit]]-(1+deb_dimJF)),0))*24</f>
        <v>0</v>
      </c>
      <c r="Q35" s="55">
        <f>(IF(WEEKDAY(Horaires35673413[[#This Row],[Date]],2)=7,MAX(0,MIN(fin_dimJF,Horaires35673413[[#This Row],[Fin corrigée si nuit]])-MAX(deb_dimJF,Horaires35673413[[#This Row],[début]])),0)+IF(WEEKDAY(Horaires35673413[[#This Row],[Date]],2)=6,MAX(0,Horaires35673413[[#This Row],[Fin corrigée si nuit]]-(1+deb_dimJF)),0))*24-
(IF(WEEKDAY(Horaires35673413[[#This Row],[Date]],2)=7,MAX(0,MIN(fin_dimJF,Horaires35673413[[#This Row],[PNP Fin corrigée]])-MAX(deb_dimJF,Horaires35673413[[#This Row],[PNP Début corrigé]])),0)+IF(WEEKDAY(Horaires35673413[[#This Row],[Date]],2)=6,MAX(0,Horaires35673413[[#This Row],[PNP Fin corrigée]]-(1+deb_dimJF)),0))*24</f>
        <v>0</v>
      </c>
      <c r="R35" s="55">
        <f>(IF(COUNTIF(JF,Horaires35673413[[#This Row],[Date]]),MAX(0,MIN(fin_dimJF,Horaires35673413[[#This Row],[Fin corrigée si nuit]])-MAX(deb_dimJF,Horaires35673413[[#This Row],[début]])),0)+IF(COUNTIF(JF,Horaires35673413[[#This Row],[Date]]+1),MAX(0,Horaires35673413[[#This Row],[Fin corrigée si nuit]]-(1+deb_dimJF)),0))*24</f>
        <v>0</v>
      </c>
      <c r="S35" s="55">
        <f>(IF(COUNTIF(JF,Horaires35673413[[#This Row],[Date]]),MAX(0,MIN(fin_dimJF,Horaires35673413[[#This Row],[Fin corrigée si nuit]])-MAX(deb_dimJF,Horaires35673413[[#This Row],[début]])),0)+IF(COUNTIF(JF,Horaires35673413[[#This Row],[Date]]+1),MAX(0,Horaires35673413[[#This Row],[Fin corrigée si nuit]]-(1+deb_dimJF)),0))*24-
(IF(COUNTIF(JF,Horaires35673413[[#This Row],[Date]]),MAX(0,MIN(fin_dimJF,Horaires35673413[[#This Row],[PNP Fin corrigée]])-MAX(deb_dimJF,Horaires35673413[[#This Row],[PNP Début corrigé]])),0)+IF(COUNTIF(JF,Horaires35673413[[#This Row],[Date]]+1),MAX(0,Horaires35673413[[#This Row],[PNP Fin corrigée]]-(1+deb_dimJF)),0))*24</f>
        <v>0</v>
      </c>
    </row>
    <row r="36" spans="1:19" x14ac:dyDescent="0.35">
      <c r="A36" s="5"/>
      <c r="B36" s="1"/>
      <c r="C36" s="2"/>
      <c r="D36" s="2"/>
      <c r="E36" s="3"/>
      <c r="F36" s="3"/>
      <c r="G36" s="3"/>
      <c r="H36" s="3"/>
      <c r="I36" s="51">
        <f>0.1*(Horaires35673413[[#This Row],[Heures de nuit]]+Horaires35673413[[#This Row],[heures jour dimanche]]+Horaires35673413[[#This Row],[heures jour fériés]])</f>
        <v>0</v>
      </c>
      <c r="J36" s="52">
        <f>(MOD(Horaires35673413[[#This Row],[Fin]]-Horaires35673413[[#This Row],[début]],1)-MOD(Horaires35673413[[#This Row],[PNP Fin]]-Horaires35673413[[#This Row],[PNP Début]],1))*24</f>
        <v>0</v>
      </c>
      <c r="K36" s="53">
        <f>IF(Horaires35673413[[#This Row],[PNP Début]]=0,0,IF(Horaires35673413[[#This Row],[PNP Début]]&lt;Horaires35673413[[#This Row],[début]],1,0)+Horaires35673413[[#This Row],[PNP Début]])</f>
        <v>0</v>
      </c>
      <c r="L36" s="54">
        <f>IF(Horaires35673413[[#This Row],[PNP Fin]]=0,0,IF(Horaires35673413[[#This Row],[PNP Fin]]&lt;Horaires35673413[[#This Row],[début]],1,0)+Horaires35673413[[#This Row],[PNP Fin]])</f>
        <v>0</v>
      </c>
      <c r="M36" s="54">
        <f>IF(Horaires35673413[[#This Row],[Fin]]&lt;Horaires35673413[[#This Row],[début]],1,0)+Horaires35673413[[#This Row],[Fin]]</f>
        <v>0</v>
      </c>
      <c r="N36" s="35">
        <f>IF(Horaires35673413[[#This Row],[Fin]]&lt;Horaires35673413[[#This Row],[début]],MAX(0,MIN(Horaires35673413[[#This Row],[Fin corrigée si nuit]],fin_nuit)-MAX(Horaires35673413[[#This Row],[début]],deb_nuit))*24,(MAX(deb_nuit,Horaires35673413[[#This Row],[Fin]])-MAX(deb_nuit,Horaires35673413[[#This Row],[début]])+MAX(MIN(fin_nuit-1,Horaires35673413[[#This Row],[Fin]])-MIN(fin_nuit-1,Horaires35673413[[#This Row],[début]]),0))*24)</f>
        <v>0</v>
      </c>
      <c r="O36" s="55">
        <f>(MAX(0,MIN(Horaires35673413[[#This Row],[Fin corrigée si nuit]],fin_nuit)-MAX(Horaires35673413[[#This Row],[début]],deb_nuit))-IF(Horaires35673413[[#This Row],[PNP Début]]=0,0,MIN(Horaires35673413[[#This Row],[PNP Fin corrigée]],fin_nuit)-MAX(Horaires35673413[[#This Row],[PNP Début corrigé]],deb_nuit)))*24</f>
        <v>0</v>
      </c>
      <c r="P36" s="55">
        <f>(IF(WEEKDAY(Horaires35673413[[#This Row],[Date]],2)=7,MAX(0,MIN(fin_dimJF,Horaires35673413[[#This Row],[Fin corrigée si nuit]])-MAX(deb_dimJF,Horaires35673413[[#This Row],[début]])),0)+IF(WEEKDAY(Horaires35673413[[#This Row],[Date]],2)=6,MAX(0,Horaires35673413[[#This Row],[Fin corrigée si nuit]]-(1+deb_dimJF)),0))*24</f>
        <v>0</v>
      </c>
      <c r="Q36" s="55">
        <f>(IF(WEEKDAY(Horaires35673413[[#This Row],[Date]],2)=7,MAX(0,MIN(fin_dimJF,Horaires35673413[[#This Row],[Fin corrigée si nuit]])-MAX(deb_dimJF,Horaires35673413[[#This Row],[début]])),0)+IF(WEEKDAY(Horaires35673413[[#This Row],[Date]],2)=6,MAX(0,Horaires35673413[[#This Row],[Fin corrigée si nuit]]-(1+deb_dimJF)),0))*24-
(IF(WEEKDAY(Horaires35673413[[#This Row],[Date]],2)=7,MAX(0,MIN(fin_dimJF,Horaires35673413[[#This Row],[PNP Fin corrigée]])-MAX(deb_dimJF,Horaires35673413[[#This Row],[PNP Début corrigé]])),0)+IF(WEEKDAY(Horaires35673413[[#This Row],[Date]],2)=6,MAX(0,Horaires35673413[[#This Row],[PNP Fin corrigée]]-(1+deb_dimJF)),0))*24</f>
        <v>0</v>
      </c>
      <c r="R36" s="55">
        <f>(IF(COUNTIF(JF,Horaires35673413[[#This Row],[Date]]),MAX(0,MIN(fin_dimJF,Horaires35673413[[#This Row],[Fin corrigée si nuit]])-MAX(deb_dimJF,Horaires35673413[[#This Row],[début]])),0)+IF(COUNTIF(JF,Horaires35673413[[#This Row],[Date]]+1),MAX(0,Horaires35673413[[#This Row],[Fin corrigée si nuit]]-(1+deb_dimJF)),0))*24</f>
        <v>0</v>
      </c>
      <c r="S36" s="55">
        <f>(IF(COUNTIF(JF,Horaires35673413[[#This Row],[Date]]),MAX(0,MIN(fin_dimJF,Horaires35673413[[#This Row],[Fin corrigée si nuit]])-MAX(deb_dimJF,Horaires35673413[[#This Row],[début]])),0)+IF(COUNTIF(JF,Horaires35673413[[#This Row],[Date]]+1),MAX(0,Horaires35673413[[#This Row],[Fin corrigée si nuit]]-(1+deb_dimJF)),0))*24-
(IF(COUNTIF(JF,Horaires35673413[[#This Row],[Date]]),MAX(0,MIN(fin_dimJF,Horaires35673413[[#This Row],[PNP Fin corrigée]])-MAX(deb_dimJF,Horaires35673413[[#This Row],[PNP Début corrigé]])),0)+IF(COUNTIF(JF,Horaires35673413[[#This Row],[Date]]+1),MAX(0,Horaires35673413[[#This Row],[PNP Fin corrigée]]-(1+deb_dimJF)),0))*24</f>
        <v>0</v>
      </c>
    </row>
    <row r="37" spans="1:19" x14ac:dyDescent="0.35">
      <c r="A37" s="5"/>
      <c r="B37" s="1"/>
      <c r="C37" s="2"/>
      <c r="D37" s="2"/>
      <c r="E37" s="3"/>
      <c r="F37" s="3"/>
      <c r="G37" s="3"/>
      <c r="H37" s="3"/>
      <c r="I37" s="51">
        <f>0.1*(Horaires35673413[[#This Row],[Heures de nuit]]+Horaires35673413[[#This Row],[heures jour dimanche]]+Horaires35673413[[#This Row],[heures jour fériés]])</f>
        <v>0</v>
      </c>
      <c r="J37" s="52">
        <f>(MOD(Horaires35673413[[#This Row],[Fin]]-Horaires35673413[[#This Row],[début]],1)-MOD(Horaires35673413[[#This Row],[PNP Fin]]-Horaires35673413[[#This Row],[PNP Début]],1))*24</f>
        <v>0</v>
      </c>
      <c r="K37" s="53">
        <f>IF(Horaires35673413[[#This Row],[PNP Début]]=0,0,IF(Horaires35673413[[#This Row],[PNP Début]]&lt;Horaires35673413[[#This Row],[début]],1,0)+Horaires35673413[[#This Row],[PNP Début]])</f>
        <v>0</v>
      </c>
      <c r="L37" s="54">
        <f>IF(Horaires35673413[[#This Row],[PNP Fin]]=0,0,IF(Horaires35673413[[#This Row],[PNP Fin]]&lt;Horaires35673413[[#This Row],[début]],1,0)+Horaires35673413[[#This Row],[PNP Fin]])</f>
        <v>0</v>
      </c>
      <c r="M37" s="54">
        <f>IF(Horaires35673413[[#This Row],[Fin]]&lt;Horaires35673413[[#This Row],[début]],1,0)+Horaires35673413[[#This Row],[Fin]]</f>
        <v>0</v>
      </c>
      <c r="N37" s="35">
        <f>IF(Horaires35673413[[#This Row],[Fin]]&lt;Horaires35673413[[#This Row],[début]],MAX(0,MIN(Horaires35673413[[#This Row],[Fin corrigée si nuit]],fin_nuit)-MAX(Horaires35673413[[#This Row],[début]],deb_nuit))*24,(MAX(deb_nuit,Horaires35673413[[#This Row],[Fin]])-MAX(deb_nuit,Horaires35673413[[#This Row],[début]])+MAX(MIN(fin_nuit-1,Horaires35673413[[#This Row],[Fin]])-MIN(fin_nuit-1,Horaires35673413[[#This Row],[début]]),0))*24)</f>
        <v>0</v>
      </c>
      <c r="O37" s="55">
        <f>(MAX(0,MIN(Horaires35673413[[#This Row],[Fin corrigée si nuit]],fin_nuit)-MAX(Horaires35673413[[#This Row],[début]],deb_nuit))-IF(Horaires35673413[[#This Row],[PNP Début]]=0,0,MIN(Horaires35673413[[#This Row],[PNP Fin corrigée]],fin_nuit)-MAX(Horaires35673413[[#This Row],[PNP Début corrigé]],deb_nuit)))*24</f>
        <v>0</v>
      </c>
      <c r="P37" s="55">
        <f>(IF(WEEKDAY(Horaires35673413[[#This Row],[Date]],2)=7,MAX(0,MIN(fin_dimJF,Horaires35673413[[#This Row],[Fin corrigée si nuit]])-MAX(deb_dimJF,Horaires35673413[[#This Row],[début]])),0)+IF(WEEKDAY(Horaires35673413[[#This Row],[Date]],2)=6,MAX(0,Horaires35673413[[#This Row],[Fin corrigée si nuit]]-(1+deb_dimJF)),0))*24</f>
        <v>0</v>
      </c>
      <c r="Q37" s="55">
        <f>(IF(WEEKDAY(Horaires35673413[[#This Row],[Date]],2)=7,MAX(0,MIN(fin_dimJF,Horaires35673413[[#This Row],[Fin corrigée si nuit]])-MAX(deb_dimJF,Horaires35673413[[#This Row],[début]])),0)+IF(WEEKDAY(Horaires35673413[[#This Row],[Date]],2)=6,MAX(0,Horaires35673413[[#This Row],[Fin corrigée si nuit]]-(1+deb_dimJF)),0))*24-
(IF(WEEKDAY(Horaires35673413[[#This Row],[Date]],2)=7,MAX(0,MIN(fin_dimJF,Horaires35673413[[#This Row],[PNP Fin corrigée]])-MAX(deb_dimJF,Horaires35673413[[#This Row],[PNP Début corrigé]])),0)+IF(WEEKDAY(Horaires35673413[[#This Row],[Date]],2)=6,MAX(0,Horaires35673413[[#This Row],[PNP Fin corrigée]]-(1+deb_dimJF)),0))*24</f>
        <v>0</v>
      </c>
      <c r="R37" s="55">
        <f>(IF(COUNTIF(JF,Horaires35673413[[#This Row],[Date]]),MAX(0,MIN(fin_dimJF,Horaires35673413[[#This Row],[Fin corrigée si nuit]])-MAX(deb_dimJF,Horaires35673413[[#This Row],[début]])),0)+IF(COUNTIF(JF,Horaires35673413[[#This Row],[Date]]+1),MAX(0,Horaires35673413[[#This Row],[Fin corrigée si nuit]]-(1+deb_dimJF)),0))*24</f>
        <v>0</v>
      </c>
      <c r="S37" s="55">
        <f>(IF(COUNTIF(JF,Horaires35673413[[#This Row],[Date]]),MAX(0,MIN(fin_dimJF,Horaires35673413[[#This Row],[Fin corrigée si nuit]])-MAX(deb_dimJF,Horaires35673413[[#This Row],[début]])),0)+IF(COUNTIF(JF,Horaires35673413[[#This Row],[Date]]+1),MAX(0,Horaires35673413[[#This Row],[Fin corrigée si nuit]]-(1+deb_dimJF)),0))*24-
(IF(COUNTIF(JF,Horaires35673413[[#This Row],[Date]]),MAX(0,MIN(fin_dimJF,Horaires35673413[[#This Row],[PNP Fin corrigée]])-MAX(deb_dimJF,Horaires35673413[[#This Row],[PNP Début corrigé]])),0)+IF(COUNTIF(JF,Horaires35673413[[#This Row],[Date]]+1),MAX(0,Horaires35673413[[#This Row],[PNP Fin corrigée]]-(1+deb_dimJF)),0))*24</f>
        <v>0</v>
      </c>
    </row>
    <row r="38" spans="1:19" x14ac:dyDescent="0.35">
      <c r="A38" s="5"/>
      <c r="B38" s="1"/>
      <c r="C38" s="2"/>
      <c r="D38" s="2"/>
      <c r="E38" s="3"/>
      <c r="F38" s="3"/>
      <c r="G38" s="3"/>
      <c r="H38" s="3"/>
      <c r="I38" s="51">
        <f>0.1*(Horaires35673413[[#This Row],[Heures de nuit]]+Horaires35673413[[#This Row],[heures jour dimanche]]+Horaires35673413[[#This Row],[heures jour fériés]])</f>
        <v>0</v>
      </c>
      <c r="J38" s="52">
        <f>(MOD(Horaires35673413[[#This Row],[Fin]]-Horaires35673413[[#This Row],[début]],1)-MOD(Horaires35673413[[#This Row],[PNP Fin]]-Horaires35673413[[#This Row],[PNP Début]],1))*24</f>
        <v>0</v>
      </c>
      <c r="K38" s="53">
        <f>IF(Horaires35673413[[#This Row],[PNP Début]]=0,0,IF(Horaires35673413[[#This Row],[PNP Début]]&lt;Horaires35673413[[#This Row],[début]],1,0)+Horaires35673413[[#This Row],[PNP Début]])</f>
        <v>0</v>
      </c>
      <c r="L38" s="54">
        <f>IF(Horaires35673413[[#This Row],[PNP Fin]]=0,0,IF(Horaires35673413[[#This Row],[PNP Fin]]&lt;Horaires35673413[[#This Row],[début]],1,0)+Horaires35673413[[#This Row],[PNP Fin]])</f>
        <v>0</v>
      </c>
      <c r="M38" s="54">
        <f>IF(Horaires35673413[[#This Row],[Fin]]&lt;Horaires35673413[[#This Row],[début]],1,0)+Horaires35673413[[#This Row],[Fin]]</f>
        <v>0</v>
      </c>
      <c r="N38" s="35">
        <f>IF(Horaires35673413[[#This Row],[Fin]]&lt;Horaires35673413[[#This Row],[début]],MAX(0,MIN(Horaires35673413[[#This Row],[Fin corrigée si nuit]],fin_nuit)-MAX(Horaires35673413[[#This Row],[début]],deb_nuit))*24,(MAX(deb_nuit,Horaires35673413[[#This Row],[Fin]])-MAX(deb_nuit,Horaires35673413[[#This Row],[début]])+MAX(MIN(fin_nuit-1,Horaires35673413[[#This Row],[Fin]])-MIN(fin_nuit-1,Horaires35673413[[#This Row],[début]]),0))*24)</f>
        <v>0</v>
      </c>
      <c r="O38" s="55">
        <f>(MAX(0,MIN(Horaires35673413[[#This Row],[Fin corrigée si nuit]],fin_nuit)-MAX(Horaires35673413[[#This Row],[début]],deb_nuit))-IF(Horaires35673413[[#This Row],[PNP Début]]=0,0,MIN(Horaires35673413[[#This Row],[PNP Fin corrigée]],fin_nuit)-MAX(Horaires35673413[[#This Row],[PNP Début corrigé]],deb_nuit)))*24</f>
        <v>0</v>
      </c>
      <c r="P38" s="55">
        <f>(IF(WEEKDAY(Horaires35673413[[#This Row],[Date]],2)=7,MAX(0,MIN(fin_dimJF,Horaires35673413[[#This Row],[Fin corrigée si nuit]])-MAX(deb_dimJF,Horaires35673413[[#This Row],[début]])),0)+IF(WEEKDAY(Horaires35673413[[#This Row],[Date]],2)=6,MAX(0,Horaires35673413[[#This Row],[Fin corrigée si nuit]]-(1+deb_dimJF)),0))*24</f>
        <v>0</v>
      </c>
      <c r="Q38" s="55">
        <f>(IF(WEEKDAY(Horaires35673413[[#This Row],[Date]],2)=7,MAX(0,MIN(fin_dimJF,Horaires35673413[[#This Row],[Fin corrigée si nuit]])-MAX(deb_dimJF,Horaires35673413[[#This Row],[début]])),0)+IF(WEEKDAY(Horaires35673413[[#This Row],[Date]],2)=6,MAX(0,Horaires35673413[[#This Row],[Fin corrigée si nuit]]-(1+deb_dimJF)),0))*24-
(IF(WEEKDAY(Horaires35673413[[#This Row],[Date]],2)=7,MAX(0,MIN(fin_dimJF,Horaires35673413[[#This Row],[PNP Fin corrigée]])-MAX(deb_dimJF,Horaires35673413[[#This Row],[PNP Début corrigé]])),0)+IF(WEEKDAY(Horaires35673413[[#This Row],[Date]],2)=6,MAX(0,Horaires35673413[[#This Row],[PNP Fin corrigée]]-(1+deb_dimJF)),0))*24</f>
        <v>0</v>
      </c>
      <c r="R38" s="55">
        <f>(IF(COUNTIF(JF,Horaires35673413[[#This Row],[Date]]),MAX(0,MIN(fin_dimJF,Horaires35673413[[#This Row],[Fin corrigée si nuit]])-MAX(deb_dimJF,Horaires35673413[[#This Row],[début]])),0)+IF(COUNTIF(JF,Horaires35673413[[#This Row],[Date]]+1),MAX(0,Horaires35673413[[#This Row],[Fin corrigée si nuit]]-(1+deb_dimJF)),0))*24</f>
        <v>0</v>
      </c>
      <c r="S38" s="55">
        <f>(IF(COUNTIF(JF,Horaires35673413[[#This Row],[Date]]),MAX(0,MIN(fin_dimJF,Horaires35673413[[#This Row],[Fin corrigée si nuit]])-MAX(deb_dimJF,Horaires35673413[[#This Row],[début]])),0)+IF(COUNTIF(JF,Horaires35673413[[#This Row],[Date]]+1),MAX(0,Horaires35673413[[#This Row],[Fin corrigée si nuit]]-(1+deb_dimJF)),0))*24-
(IF(COUNTIF(JF,Horaires35673413[[#This Row],[Date]]),MAX(0,MIN(fin_dimJF,Horaires35673413[[#This Row],[PNP Fin corrigée]])-MAX(deb_dimJF,Horaires35673413[[#This Row],[PNP Début corrigé]])),0)+IF(COUNTIF(JF,Horaires35673413[[#This Row],[Date]]+1),MAX(0,Horaires35673413[[#This Row],[PNP Fin corrigée]]-(1+deb_dimJF)),0))*24</f>
        <v>0</v>
      </c>
    </row>
    <row r="39" spans="1:19" x14ac:dyDescent="0.35">
      <c r="A39" s="5"/>
      <c r="B39" s="1"/>
      <c r="C39" s="2"/>
      <c r="D39" s="2"/>
      <c r="E39" s="3"/>
      <c r="F39" s="3"/>
      <c r="G39" s="3"/>
      <c r="H39" s="3"/>
      <c r="I39" s="51">
        <f>0.1*(Horaires35673413[[#This Row],[Heures de nuit]]+Horaires35673413[[#This Row],[heures jour dimanche]]+Horaires35673413[[#This Row],[heures jour fériés]])</f>
        <v>0</v>
      </c>
      <c r="J39" s="52">
        <f>(MOD(Horaires35673413[[#This Row],[Fin]]-Horaires35673413[[#This Row],[début]],1)-MOD(Horaires35673413[[#This Row],[PNP Fin]]-Horaires35673413[[#This Row],[PNP Début]],1))*24</f>
        <v>0</v>
      </c>
      <c r="K39" s="53">
        <f>IF(Horaires35673413[[#This Row],[PNP Début]]=0,0,IF(Horaires35673413[[#This Row],[PNP Début]]&lt;Horaires35673413[[#This Row],[début]],1,0)+Horaires35673413[[#This Row],[PNP Début]])</f>
        <v>0</v>
      </c>
      <c r="L39" s="54">
        <f>IF(Horaires35673413[[#This Row],[PNP Fin]]=0,0,IF(Horaires35673413[[#This Row],[PNP Fin]]&lt;Horaires35673413[[#This Row],[début]],1,0)+Horaires35673413[[#This Row],[PNP Fin]])</f>
        <v>0</v>
      </c>
      <c r="M39" s="54">
        <f>IF(Horaires35673413[[#This Row],[Fin]]&lt;Horaires35673413[[#This Row],[début]],1,0)+Horaires35673413[[#This Row],[Fin]]</f>
        <v>0</v>
      </c>
      <c r="N39" s="35">
        <f>IF(Horaires35673413[[#This Row],[Fin]]&lt;Horaires35673413[[#This Row],[début]],MAX(0,MIN(Horaires35673413[[#This Row],[Fin corrigée si nuit]],fin_nuit)-MAX(Horaires35673413[[#This Row],[début]],deb_nuit))*24,(MAX(deb_nuit,Horaires35673413[[#This Row],[Fin]])-MAX(deb_nuit,Horaires35673413[[#This Row],[début]])+MAX(MIN(fin_nuit-1,Horaires35673413[[#This Row],[Fin]])-MIN(fin_nuit-1,Horaires35673413[[#This Row],[début]]),0))*24)</f>
        <v>0</v>
      </c>
      <c r="O39" s="55">
        <f>(MAX(0,MIN(Horaires35673413[[#This Row],[Fin corrigée si nuit]],fin_nuit)-MAX(Horaires35673413[[#This Row],[début]],deb_nuit))-IF(Horaires35673413[[#This Row],[PNP Début]]=0,0,MIN(Horaires35673413[[#This Row],[PNP Fin corrigée]],fin_nuit)-MAX(Horaires35673413[[#This Row],[PNP Début corrigé]],deb_nuit)))*24</f>
        <v>0</v>
      </c>
      <c r="P39" s="55">
        <f>(IF(WEEKDAY(Horaires35673413[[#This Row],[Date]],2)=7,MAX(0,MIN(fin_dimJF,Horaires35673413[[#This Row],[Fin corrigée si nuit]])-MAX(deb_dimJF,Horaires35673413[[#This Row],[début]])),0)+IF(WEEKDAY(Horaires35673413[[#This Row],[Date]],2)=6,MAX(0,Horaires35673413[[#This Row],[Fin corrigée si nuit]]-(1+deb_dimJF)),0))*24</f>
        <v>0</v>
      </c>
      <c r="Q39" s="55">
        <f>(IF(WEEKDAY(Horaires35673413[[#This Row],[Date]],2)=7,MAX(0,MIN(fin_dimJF,Horaires35673413[[#This Row],[Fin corrigée si nuit]])-MAX(deb_dimJF,Horaires35673413[[#This Row],[début]])),0)+IF(WEEKDAY(Horaires35673413[[#This Row],[Date]],2)=6,MAX(0,Horaires35673413[[#This Row],[Fin corrigée si nuit]]-(1+deb_dimJF)),0))*24-
(IF(WEEKDAY(Horaires35673413[[#This Row],[Date]],2)=7,MAX(0,MIN(fin_dimJF,Horaires35673413[[#This Row],[PNP Fin corrigée]])-MAX(deb_dimJF,Horaires35673413[[#This Row],[PNP Début corrigé]])),0)+IF(WEEKDAY(Horaires35673413[[#This Row],[Date]],2)=6,MAX(0,Horaires35673413[[#This Row],[PNP Fin corrigée]]-(1+deb_dimJF)),0))*24</f>
        <v>0</v>
      </c>
      <c r="R39" s="55">
        <f>(IF(COUNTIF(JF,Horaires35673413[[#This Row],[Date]]),MAX(0,MIN(fin_dimJF,Horaires35673413[[#This Row],[Fin corrigée si nuit]])-MAX(deb_dimJF,Horaires35673413[[#This Row],[début]])),0)+IF(COUNTIF(JF,Horaires35673413[[#This Row],[Date]]+1),MAX(0,Horaires35673413[[#This Row],[Fin corrigée si nuit]]-(1+deb_dimJF)),0))*24</f>
        <v>0</v>
      </c>
      <c r="S39" s="55">
        <f>(IF(COUNTIF(JF,Horaires35673413[[#This Row],[Date]]),MAX(0,MIN(fin_dimJF,Horaires35673413[[#This Row],[Fin corrigée si nuit]])-MAX(deb_dimJF,Horaires35673413[[#This Row],[début]])),0)+IF(COUNTIF(JF,Horaires35673413[[#This Row],[Date]]+1),MAX(0,Horaires35673413[[#This Row],[Fin corrigée si nuit]]-(1+deb_dimJF)),0))*24-
(IF(COUNTIF(JF,Horaires35673413[[#This Row],[Date]]),MAX(0,MIN(fin_dimJF,Horaires35673413[[#This Row],[PNP Fin corrigée]])-MAX(deb_dimJF,Horaires35673413[[#This Row],[PNP Début corrigé]])),0)+IF(COUNTIF(JF,Horaires35673413[[#This Row],[Date]]+1),MAX(0,Horaires35673413[[#This Row],[PNP Fin corrigée]]-(1+deb_dimJF)),0))*24</f>
        <v>0</v>
      </c>
    </row>
    <row r="40" spans="1:19" x14ac:dyDescent="0.35">
      <c r="A40" s="5"/>
      <c r="B40" s="1"/>
      <c r="C40" s="2"/>
      <c r="D40" s="2"/>
      <c r="E40" s="3"/>
      <c r="F40" s="3"/>
      <c r="G40" s="3"/>
      <c r="H40" s="3"/>
      <c r="I40" s="51">
        <f>0.1*(Horaires35673413[[#This Row],[Heures de nuit]]+Horaires35673413[[#This Row],[heures jour dimanche]]+Horaires35673413[[#This Row],[heures jour fériés]])</f>
        <v>0</v>
      </c>
      <c r="J40" s="52">
        <f>(MOD(Horaires35673413[[#This Row],[Fin]]-Horaires35673413[[#This Row],[début]],1)-MOD(Horaires35673413[[#This Row],[PNP Fin]]-Horaires35673413[[#This Row],[PNP Début]],1))*24</f>
        <v>0</v>
      </c>
      <c r="K40" s="53">
        <f>IF(Horaires35673413[[#This Row],[PNP Début]]=0,0,IF(Horaires35673413[[#This Row],[PNP Début]]&lt;Horaires35673413[[#This Row],[début]],1,0)+Horaires35673413[[#This Row],[PNP Début]])</f>
        <v>0</v>
      </c>
      <c r="L40" s="54">
        <f>IF(Horaires35673413[[#This Row],[PNP Fin]]=0,0,IF(Horaires35673413[[#This Row],[PNP Fin]]&lt;Horaires35673413[[#This Row],[début]],1,0)+Horaires35673413[[#This Row],[PNP Fin]])</f>
        <v>0</v>
      </c>
      <c r="M40" s="54">
        <f>IF(Horaires35673413[[#This Row],[Fin]]&lt;Horaires35673413[[#This Row],[début]],1,0)+Horaires35673413[[#This Row],[Fin]]</f>
        <v>0</v>
      </c>
      <c r="N40" s="35">
        <f>IF(Horaires35673413[[#This Row],[Fin]]&lt;Horaires35673413[[#This Row],[début]],MAX(0,MIN(Horaires35673413[[#This Row],[Fin corrigée si nuit]],fin_nuit)-MAX(Horaires35673413[[#This Row],[début]],deb_nuit))*24,(MAX(deb_nuit,Horaires35673413[[#This Row],[Fin]])-MAX(deb_nuit,Horaires35673413[[#This Row],[début]])+MAX(MIN(fin_nuit-1,Horaires35673413[[#This Row],[Fin]])-MIN(fin_nuit-1,Horaires35673413[[#This Row],[début]]),0))*24)</f>
        <v>0</v>
      </c>
      <c r="O40" s="55">
        <f>(MAX(0,MIN(Horaires35673413[[#This Row],[Fin corrigée si nuit]],fin_nuit)-MAX(Horaires35673413[[#This Row],[début]],deb_nuit))-IF(Horaires35673413[[#This Row],[PNP Début]]=0,0,MIN(Horaires35673413[[#This Row],[PNP Fin corrigée]],fin_nuit)-MAX(Horaires35673413[[#This Row],[PNP Début corrigé]],deb_nuit)))*24</f>
        <v>0</v>
      </c>
      <c r="P40" s="55">
        <f>(IF(WEEKDAY(Horaires35673413[[#This Row],[Date]],2)=7,MAX(0,MIN(fin_dimJF,Horaires35673413[[#This Row],[Fin corrigée si nuit]])-MAX(deb_dimJF,Horaires35673413[[#This Row],[début]])),0)+IF(WEEKDAY(Horaires35673413[[#This Row],[Date]],2)=6,MAX(0,Horaires35673413[[#This Row],[Fin corrigée si nuit]]-(1+deb_dimJF)),0))*24</f>
        <v>0</v>
      </c>
      <c r="Q40" s="55">
        <f>(IF(WEEKDAY(Horaires35673413[[#This Row],[Date]],2)=7,MAX(0,MIN(fin_dimJF,Horaires35673413[[#This Row],[Fin corrigée si nuit]])-MAX(deb_dimJF,Horaires35673413[[#This Row],[début]])),0)+IF(WEEKDAY(Horaires35673413[[#This Row],[Date]],2)=6,MAX(0,Horaires35673413[[#This Row],[Fin corrigée si nuit]]-(1+deb_dimJF)),0))*24-
(IF(WEEKDAY(Horaires35673413[[#This Row],[Date]],2)=7,MAX(0,MIN(fin_dimJF,Horaires35673413[[#This Row],[PNP Fin corrigée]])-MAX(deb_dimJF,Horaires35673413[[#This Row],[PNP Début corrigé]])),0)+IF(WEEKDAY(Horaires35673413[[#This Row],[Date]],2)=6,MAX(0,Horaires35673413[[#This Row],[PNP Fin corrigée]]-(1+deb_dimJF)),0))*24</f>
        <v>0</v>
      </c>
      <c r="R40" s="55">
        <f>(IF(COUNTIF(JF,Horaires35673413[[#This Row],[Date]]),MAX(0,MIN(fin_dimJF,Horaires35673413[[#This Row],[Fin corrigée si nuit]])-MAX(deb_dimJF,Horaires35673413[[#This Row],[début]])),0)+IF(COUNTIF(JF,Horaires35673413[[#This Row],[Date]]+1),MAX(0,Horaires35673413[[#This Row],[Fin corrigée si nuit]]-(1+deb_dimJF)),0))*24</f>
        <v>0</v>
      </c>
      <c r="S40" s="55">
        <f>(IF(COUNTIF(JF,Horaires35673413[[#This Row],[Date]]),MAX(0,MIN(fin_dimJF,Horaires35673413[[#This Row],[Fin corrigée si nuit]])-MAX(deb_dimJF,Horaires35673413[[#This Row],[début]])),0)+IF(COUNTIF(JF,Horaires35673413[[#This Row],[Date]]+1),MAX(0,Horaires35673413[[#This Row],[Fin corrigée si nuit]]-(1+deb_dimJF)),0))*24-
(IF(COUNTIF(JF,Horaires35673413[[#This Row],[Date]]),MAX(0,MIN(fin_dimJF,Horaires35673413[[#This Row],[PNP Fin corrigée]])-MAX(deb_dimJF,Horaires35673413[[#This Row],[PNP Début corrigé]])),0)+IF(COUNTIF(JF,Horaires35673413[[#This Row],[Date]]+1),MAX(0,Horaires35673413[[#This Row],[PNP Fin corrigée]]-(1+deb_dimJF)),0))*24</f>
        <v>0</v>
      </c>
    </row>
    <row r="41" spans="1:19" x14ac:dyDescent="0.35">
      <c r="A41" s="5"/>
      <c r="B41" s="1"/>
      <c r="C41" s="2"/>
      <c r="D41" s="2"/>
      <c r="E41" s="3"/>
      <c r="F41" s="3"/>
      <c r="G41" s="3"/>
      <c r="H41" s="3"/>
      <c r="I41" s="51">
        <f>0.1*(Horaires35673413[[#This Row],[Heures de nuit]]+Horaires35673413[[#This Row],[heures jour dimanche]]+Horaires35673413[[#This Row],[heures jour fériés]])</f>
        <v>0</v>
      </c>
      <c r="J41" s="52">
        <f>(MOD(Horaires35673413[[#This Row],[Fin]]-Horaires35673413[[#This Row],[début]],1)-MOD(Horaires35673413[[#This Row],[PNP Fin]]-Horaires35673413[[#This Row],[PNP Début]],1))*24</f>
        <v>0</v>
      </c>
      <c r="K41" s="53">
        <f>IF(Horaires35673413[[#This Row],[PNP Début]]=0,0,IF(Horaires35673413[[#This Row],[PNP Début]]&lt;Horaires35673413[[#This Row],[début]],1,0)+Horaires35673413[[#This Row],[PNP Début]])</f>
        <v>0</v>
      </c>
      <c r="L41" s="54">
        <f>IF(Horaires35673413[[#This Row],[PNP Fin]]=0,0,IF(Horaires35673413[[#This Row],[PNP Fin]]&lt;Horaires35673413[[#This Row],[début]],1,0)+Horaires35673413[[#This Row],[PNP Fin]])</f>
        <v>0</v>
      </c>
      <c r="M41" s="54">
        <f>IF(Horaires35673413[[#This Row],[Fin]]&lt;Horaires35673413[[#This Row],[début]],1,0)+Horaires35673413[[#This Row],[Fin]]</f>
        <v>0</v>
      </c>
      <c r="N41" s="35">
        <f>IF(Horaires35673413[[#This Row],[Fin]]&lt;Horaires35673413[[#This Row],[début]],MAX(0,MIN(Horaires35673413[[#This Row],[Fin corrigée si nuit]],fin_nuit)-MAX(Horaires35673413[[#This Row],[début]],deb_nuit))*24,(MAX(deb_nuit,Horaires35673413[[#This Row],[Fin]])-MAX(deb_nuit,Horaires35673413[[#This Row],[début]])+MAX(MIN(fin_nuit-1,Horaires35673413[[#This Row],[Fin]])-MIN(fin_nuit-1,Horaires35673413[[#This Row],[début]]),0))*24)</f>
        <v>0</v>
      </c>
      <c r="O41" s="55">
        <f>(MAX(0,MIN(Horaires35673413[[#This Row],[Fin corrigée si nuit]],fin_nuit)-MAX(Horaires35673413[[#This Row],[début]],deb_nuit))-IF(Horaires35673413[[#This Row],[PNP Début]]=0,0,MIN(Horaires35673413[[#This Row],[PNP Fin corrigée]],fin_nuit)-MAX(Horaires35673413[[#This Row],[PNP Début corrigé]],deb_nuit)))*24</f>
        <v>0</v>
      </c>
      <c r="P41" s="55">
        <f>(IF(WEEKDAY(Horaires35673413[[#This Row],[Date]],2)=7,MAX(0,MIN(fin_dimJF,Horaires35673413[[#This Row],[Fin corrigée si nuit]])-MAX(deb_dimJF,Horaires35673413[[#This Row],[début]])),0)+IF(WEEKDAY(Horaires35673413[[#This Row],[Date]],2)=6,MAX(0,Horaires35673413[[#This Row],[Fin corrigée si nuit]]-(1+deb_dimJF)),0))*24</f>
        <v>0</v>
      </c>
      <c r="Q41" s="55">
        <f>(IF(WEEKDAY(Horaires35673413[[#This Row],[Date]],2)=7,MAX(0,MIN(fin_dimJF,Horaires35673413[[#This Row],[Fin corrigée si nuit]])-MAX(deb_dimJF,Horaires35673413[[#This Row],[début]])),0)+IF(WEEKDAY(Horaires35673413[[#This Row],[Date]],2)=6,MAX(0,Horaires35673413[[#This Row],[Fin corrigée si nuit]]-(1+deb_dimJF)),0))*24-
(IF(WEEKDAY(Horaires35673413[[#This Row],[Date]],2)=7,MAX(0,MIN(fin_dimJF,Horaires35673413[[#This Row],[PNP Fin corrigée]])-MAX(deb_dimJF,Horaires35673413[[#This Row],[PNP Début corrigé]])),0)+IF(WEEKDAY(Horaires35673413[[#This Row],[Date]],2)=6,MAX(0,Horaires35673413[[#This Row],[PNP Fin corrigée]]-(1+deb_dimJF)),0))*24</f>
        <v>0</v>
      </c>
      <c r="R41" s="55">
        <f>(IF(COUNTIF(JF,Horaires35673413[[#This Row],[Date]]),MAX(0,MIN(fin_dimJF,Horaires35673413[[#This Row],[Fin corrigée si nuit]])-MAX(deb_dimJF,Horaires35673413[[#This Row],[début]])),0)+IF(COUNTIF(JF,Horaires35673413[[#This Row],[Date]]+1),MAX(0,Horaires35673413[[#This Row],[Fin corrigée si nuit]]-(1+deb_dimJF)),0))*24</f>
        <v>0</v>
      </c>
      <c r="S41" s="55">
        <f>(IF(COUNTIF(JF,Horaires35673413[[#This Row],[Date]]),MAX(0,MIN(fin_dimJF,Horaires35673413[[#This Row],[Fin corrigée si nuit]])-MAX(deb_dimJF,Horaires35673413[[#This Row],[début]])),0)+IF(COUNTIF(JF,Horaires35673413[[#This Row],[Date]]+1),MAX(0,Horaires35673413[[#This Row],[Fin corrigée si nuit]]-(1+deb_dimJF)),0))*24-
(IF(COUNTIF(JF,Horaires35673413[[#This Row],[Date]]),MAX(0,MIN(fin_dimJF,Horaires35673413[[#This Row],[PNP Fin corrigée]])-MAX(deb_dimJF,Horaires35673413[[#This Row],[PNP Début corrigé]])),0)+IF(COUNTIF(JF,Horaires35673413[[#This Row],[Date]]+1),MAX(0,Horaires35673413[[#This Row],[PNP Fin corrigée]]-(1+deb_dimJF)),0))*24</f>
        <v>0</v>
      </c>
    </row>
    <row r="42" spans="1:19" x14ac:dyDescent="0.35">
      <c r="A42" s="5"/>
      <c r="B42" s="1"/>
      <c r="C42" s="2"/>
      <c r="D42" s="2"/>
      <c r="E42" s="3"/>
      <c r="F42" s="3"/>
      <c r="G42" s="3"/>
      <c r="H42" s="3"/>
      <c r="I42" s="51">
        <f>0.1*(Horaires35673413[[#This Row],[Heures de nuit]]+Horaires35673413[[#This Row],[heures jour dimanche]]+Horaires35673413[[#This Row],[heures jour fériés]])</f>
        <v>0</v>
      </c>
      <c r="J42" s="52">
        <f>(MOD(Horaires35673413[[#This Row],[Fin]]-Horaires35673413[[#This Row],[début]],1)-MOD(Horaires35673413[[#This Row],[PNP Fin]]-Horaires35673413[[#This Row],[PNP Début]],1))*24</f>
        <v>0</v>
      </c>
      <c r="K42" s="53">
        <f>IF(Horaires35673413[[#This Row],[PNP Début]]=0,0,IF(Horaires35673413[[#This Row],[PNP Début]]&lt;Horaires35673413[[#This Row],[début]],1,0)+Horaires35673413[[#This Row],[PNP Début]])</f>
        <v>0</v>
      </c>
      <c r="L42" s="54">
        <f>IF(Horaires35673413[[#This Row],[PNP Fin]]=0,0,IF(Horaires35673413[[#This Row],[PNP Fin]]&lt;Horaires35673413[[#This Row],[début]],1,0)+Horaires35673413[[#This Row],[PNP Fin]])</f>
        <v>0</v>
      </c>
      <c r="M42" s="54">
        <f>IF(Horaires35673413[[#This Row],[Fin]]&lt;Horaires35673413[[#This Row],[début]],1,0)+Horaires35673413[[#This Row],[Fin]]</f>
        <v>0</v>
      </c>
      <c r="N42" s="35">
        <f>IF(Horaires35673413[[#This Row],[Fin]]&lt;Horaires35673413[[#This Row],[début]],MAX(0,MIN(Horaires35673413[[#This Row],[Fin corrigée si nuit]],fin_nuit)-MAX(Horaires35673413[[#This Row],[début]],deb_nuit))*24,(MAX(deb_nuit,Horaires35673413[[#This Row],[Fin]])-MAX(deb_nuit,Horaires35673413[[#This Row],[début]])+MAX(MIN(fin_nuit-1,Horaires35673413[[#This Row],[Fin]])-MIN(fin_nuit-1,Horaires35673413[[#This Row],[début]]),0))*24)</f>
        <v>0</v>
      </c>
      <c r="O42" s="55">
        <f>(MAX(0,MIN(Horaires35673413[[#This Row],[Fin corrigée si nuit]],fin_nuit)-MAX(Horaires35673413[[#This Row],[début]],deb_nuit))-IF(Horaires35673413[[#This Row],[PNP Début]]=0,0,MIN(Horaires35673413[[#This Row],[PNP Fin corrigée]],fin_nuit)-MAX(Horaires35673413[[#This Row],[PNP Début corrigé]],deb_nuit)))*24</f>
        <v>0</v>
      </c>
      <c r="P42" s="55">
        <f>(IF(WEEKDAY(Horaires35673413[[#This Row],[Date]],2)=7,MAX(0,MIN(fin_dimJF,Horaires35673413[[#This Row],[Fin corrigée si nuit]])-MAX(deb_dimJF,Horaires35673413[[#This Row],[début]])),0)+IF(WEEKDAY(Horaires35673413[[#This Row],[Date]],2)=6,MAX(0,Horaires35673413[[#This Row],[Fin corrigée si nuit]]-(1+deb_dimJF)),0))*24</f>
        <v>0</v>
      </c>
      <c r="Q42" s="55">
        <f>(IF(WEEKDAY(Horaires35673413[[#This Row],[Date]],2)=7,MAX(0,MIN(fin_dimJF,Horaires35673413[[#This Row],[Fin corrigée si nuit]])-MAX(deb_dimJF,Horaires35673413[[#This Row],[début]])),0)+IF(WEEKDAY(Horaires35673413[[#This Row],[Date]],2)=6,MAX(0,Horaires35673413[[#This Row],[Fin corrigée si nuit]]-(1+deb_dimJF)),0))*24-
(IF(WEEKDAY(Horaires35673413[[#This Row],[Date]],2)=7,MAX(0,MIN(fin_dimJF,Horaires35673413[[#This Row],[PNP Fin corrigée]])-MAX(deb_dimJF,Horaires35673413[[#This Row],[PNP Début corrigé]])),0)+IF(WEEKDAY(Horaires35673413[[#This Row],[Date]],2)=6,MAX(0,Horaires35673413[[#This Row],[PNP Fin corrigée]]-(1+deb_dimJF)),0))*24</f>
        <v>0</v>
      </c>
      <c r="R42" s="55">
        <f>(IF(COUNTIF(JF,Horaires35673413[[#This Row],[Date]]),MAX(0,MIN(fin_dimJF,Horaires35673413[[#This Row],[Fin corrigée si nuit]])-MAX(deb_dimJF,Horaires35673413[[#This Row],[début]])),0)+IF(COUNTIF(JF,Horaires35673413[[#This Row],[Date]]+1),MAX(0,Horaires35673413[[#This Row],[Fin corrigée si nuit]]-(1+deb_dimJF)),0))*24</f>
        <v>0</v>
      </c>
      <c r="S42" s="55">
        <f>(IF(COUNTIF(JF,Horaires35673413[[#This Row],[Date]]),MAX(0,MIN(fin_dimJF,Horaires35673413[[#This Row],[Fin corrigée si nuit]])-MAX(deb_dimJF,Horaires35673413[[#This Row],[début]])),0)+IF(COUNTIF(JF,Horaires35673413[[#This Row],[Date]]+1),MAX(0,Horaires35673413[[#This Row],[Fin corrigée si nuit]]-(1+deb_dimJF)),0))*24-
(IF(COUNTIF(JF,Horaires35673413[[#This Row],[Date]]),MAX(0,MIN(fin_dimJF,Horaires35673413[[#This Row],[PNP Fin corrigée]])-MAX(deb_dimJF,Horaires35673413[[#This Row],[PNP Début corrigé]])),0)+IF(COUNTIF(JF,Horaires35673413[[#This Row],[Date]]+1),MAX(0,Horaires35673413[[#This Row],[PNP Fin corrigée]]-(1+deb_dimJF)),0))*24</f>
        <v>0</v>
      </c>
    </row>
    <row r="43" spans="1:19" x14ac:dyDescent="0.35">
      <c r="A43" s="5"/>
      <c r="B43" s="1"/>
      <c r="C43" s="2"/>
      <c r="D43" s="2"/>
      <c r="E43" s="3"/>
      <c r="F43" s="3"/>
      <c r="G43" s="3"/>
      <c r="H43" s="3"/>
      <c r="I43" s="51">
        <f>0.1*(Horaires35673413[[#This Row],[Heures de nuit]]+Horaires35673413[[#This Row],[heures jour dimanche]]+Horaires35673413[[#This Row],[heures jour fériés]])</f>
        <v>0</v>
      </c>
      <c r="J43" s="52">
        <f>(MOD(Horaires35673413[[#This Row],[Fin]]-Horaires35673413[[#This Row],[début]],1)-MOD(Horaires35673413[[#This Row],[PNP Fin]]-Horaires35673413[[#This Row],[PNP Début]],1))*24</f>
        <v>0</v>
      </c>
      <c r="K43" s="53">
        <f>IF(Horaires35673413[[#This Row],[PNP Début]]=0,0,IF(Horaires35673413[[#This Row],[PNP Début]]&lt;Horaires35673413[[#This Row],[début]],1,0)+Horaires35673413[[#This Row],[PNP Début]])</f>
        <v>0</v>
      </c>
      <c r="L43" s="54">
        <f>IF(Horaires35673413[[#This Row],[PNP Fin]]=0,0,IF(Horaires35673413[[#This Row],[PNP Fin]]&lt;Horaires35673413[[#This Row],[début]],1,0)+Horaires35673413[[#This Row],[PNP Fin]])</f>
        <v>0</v>
      </c>
      <c r="M43" s="54">
        <f>IF(Horaires35673413[[#This Row],[Fin]]&lt;Horaires35673413[[#This Row],[début]],1,0)+Horaires35673413[[#This Row],[Fin]]</f>
        <v>0</v>
      </c>
      <c r="N43" s="35">
        <f>IF(Horaires35673413[[#This Row],[Fin]]&lt;Horaires35673413[[#This Row],[début]],MAX(0,MIN(Horaires35673413[[#This Row],[Fin corrigée si nuit]],fin_nuit)-MAX(Horaires35673413[[#This Row],[début]],deb_nuit))*24,(MAX(deb_nuit,Horaires35673413[[#This Row],[Fin]])-MAX(deb_nuit,Horaires35673413[[#This Row],[début]])+MAX(MIN(fin_nuit-1,Horaires35673413[[#This Row],[Fin]])-MIN(fin_nuit-1,Horaires35673413[[#This Row],[début]]),0))*24)</f>
        <v>0</v>
      </c>
      <c r="O43" s="55">
        <f>(MAX(0,MIN(Horaires35673413[[#This Row],[Fin corrigée si nuit]],fin_nuit)-MAX(Horaires35673413[[#This Row],[début]],deb_nuit))-IF(Horaires35673413[[#This Row],[PNP Début]]=0,0,MIN(Horaires35673413[[#This Row],[PNP Fin corrigée]],fin_nuit)-MAX(Horaires35673413[[#This Row],[PNP Début corrigé]],deb_nuit)))*24</f>
        <v>0</v>
      </c>
      <c r="P43" s="55">
        <f>(IF(WEEKDAY(Horaires35673413[[#This Row],[Date]],2)=7,MAX(0,MIN(fin_dimJF,Horaires35673413[[#This Row],[Fin corrigée si nuit]])-MAX(deb_dimJF,Horaires35673413[[#This Row],[début]])),0)+IF(WEEKDAY(Horaires35673413[[#This Row],[Date]],2)=6,MAX(0,Horaires35673413[[#This Row],[Fin corrigée si nuit]]-(1+deb_dimJF)),0))*24</f>
        <v>0</v>
      </c>
      <c r="Q43" s="55">
        <f>(IF(WEEKDAY(Horaires35673413[[#This Row],[Date]],2)=7,MAX(0,MIN(fin_dimJF,Horaires35673413[[#This Row],[Fin corrigée si nuit]])-MAX(deb_dimJF,Horaires35673413[[#This Row],[début]])),0)+IF(WEEKDAY(Horaires35673413[[#This Row],[Date]],2)=6,MAX(0,Horaires35673413[[#This Row],[Fin corrigée si nuit]]-(1+deb_dimJF)),0))*24-
(IF(WEEKDAY(Horaires35673413[[#This Row],[Date]],2)=7,MAX(0,MIN(fin_dimJF,Horaires35673413[[#This Row],[PNP Fin corrigée]])-MAX(deb_dimJF,Horaires35673413[[#This Row],[PNP Début corrigé]])),0)+IF(WEEKDAY(Horaires35673413[[#This Row],[Date]],2)=6,MAX(0,Horaires35673413[[#This Row],[PNP Fin corrigée]]-(1+deb_dimJF)),0))*24</f>
        <v>0</v>
      </c>
      <c r="R43" s="55">
        <f>(IF(COUNTIF(JF,Horaires35673413[[#This Row],[Date]]),MAX(0,MIN(fin_dimJF,Horaires35673413[[#This Row],[Fin corrigée si nuit]])-MAX(deb_dimJF,Horaires35673413[[#This Row],[début]])),0)+IF(COUNTIF(JF,Horaires35673413[[#This Row],[Date]]+1),MAX(0,Horaires35673413[[#This Row],[Fin corrigée si nuit]]-(1+deb_dimJF)),0))*24</f>
        <v>0</v>
      </c>
      <c r="S43" s="55">
        <f>(IF(COUNTIF(JF,Horaires35673413[[#This Row],[Date]]),MAX(0,MIN(fin_dimJF,Horaires35673413[[#This Row],[Fin corrigée si nuit]])-MAX(deb_dimJF,Horaires35673413[[#This Row],[début]])),0)+IF(COUNTIF(JF,Horaires35673413[[#This Row],[Date]]+1),MAX(0,Horaires35673413[[#This Row],[Fin corrigée si nuit]]-(1+deb_dimJF)),0))*24-
(IF(COUNTIF(JF,Horaires35673413[[#This Row],[Date]]),MAX(0,MIN(fin_dimJF,Horaires35673413[[#This Row],[PNP Fin corrigée]])-MAX(deb_dimJF,Horaires35673413[[#This Row],[PNP Début corrigé]])),0)+IF(COUNTIF(JF,Horaires35673413[[#This Row],[Date]]+1),MAX(0,Horaires35673413[[#This Row],[PNP Fin corrigée]]-(1+deb_dimJF)),0))*24</f>
        <v>0</v>
      </c>
    </row>
    <row r="44" spans="1:19" x14ac:dyDescent="0.35">
      <c r="A44" s="5"/>
      <c r="B44" s="1"/>
      <c r="C44" s="2"/>
      <c r="D44" s="2"/>
      <c r="E44" s="3"/>
      <c r="F44" s="3"/>
      <c r="G44" s="3"/>
      <c r="H44" s="3"/>
      <c r="I44" s="51">
        <f>0.1*(Horaires35673413[[#This Row],[Heures de nuit]]+Horaires35673413[[#This Row],[heures jour dimanche]]+Horaires35673413[[#This Row],[heures jour fériés]])</f>
        <v>0</v>
      </c>
      <c r="J44" s="52">
        <f>(MOD(Horaires35673413[[#This Row],[Fin]]-Horaires35673413[[#This Row],[début]],1)-MOD(Horaires35673413[[#This Row],[PNP Fin]]-Horaires35673413[[#This Row],[PNP Début]],1))*24</f>
        <v>0</v>
      </c>
      <c r="K44" s="53">
        <f>IF(Horaires35673413[[#This Row],[PNP Début]]=0,0,IF(Horaires35673413[[#This Row],[PNP Début]]&lt;Horaires35673413[[#This Row],[début]],1,0)+Horaires35673413[[#This Row],[PNP Début]])</f>
        <v>0</v>
      </c>
      <c r="L44" s="54">
        <f>IF(Horaires35673413[[#This Row],[PNP Fin]]=0,0,IF(Horaires35673413[[#This Row],[PNP Fin]]&lt;Horaires35673413[[#This Row],[début]],1,0)+Horaires35673413[[#This Row],[PNP Fin]])</f>
        <v>0</v>
      </c>
      <c r="M44" s="54">
        <f>IF(Horaires35673413[[#This Row],[Fin]]&lt;Horaires35673413[[#This Row],[début]],1,0)+Horaires35673413[[#This Row],[Fin]]</f>
        <v>0</v>
      </c>
      <c r="N44" s="35">
        <f>IF(Horaires35673413[[#This Row],[Fin]]&lt;Horaires35673413[[#This Row],[début]],MAX(0,MIN(Horaires35673413[[#This Row],[Fin corrigée si nuit]],fin_nuit)-MAX(Horaires35673413[[#This Row],[début]],deb_nuit))*24,(MAX(deb_nuit,Horaires35673413[[#This Row],[Fin]])-MAX(deb_nuit,Horaires35673413[[#This Row],[début]])+MAX(MIN(fin_nuit-1,Horaires35673413[[#This Row],[Fin]])-MIN(fin_nuit-1,Horaires35673413[[#This Row],[début]]),0))*24)</f>
        <v>0</v>
      </c>
      <c r="O44" s="55">
        <f>(MAX(0,MIN(Horaires35673413[[#This Row],[Fin corrigée si nuit]],fin_nuit)-MAX(Horaires35673413[[#This Row],[début]],deb_nuit))-IF(Horaires35673413[[#This Row],[PNP Début]]=0,0,MIN(Horaires35673413[[#This Row],[PNP Fin corrigée]],fin_nuit)-MAX(Horaires35673413[[#This Row],[PNP Début corrigé]],deb_nuit)))*24</f>
        <v>0</v>
      </c>
      <c r="P44" s="55">
        <f>(IF(WEEKDAY(Horaires35673413[[#This Row],[Date]],2)=7,MAX(0,MIN(fin_dimJF,Horaires35673413[[#This Row],[Fin corrigée si nuit]])-MAX(deb_dimJF,Horaires35673413[[#This Row],[début]])),0)+IF(WEEKDAY(Horaires35673413[[#This Row],[Date]],2)=6,MAX(0,Horaires35673413[[#This Row],[Fin corrigée si nuit]]-(1+deb_dimJF)),0))*24</f>
        <v>0</v>
      </c>
      <c r="Q44" s="55">
        <f>(IF(WEEKDAY(Horaires35673413[[#This Row],[Date]],2)=7,MAX(0,MIN(fin_dimJF,Horaires35673413[[#This Row],[Fin corrigée si nuit]])-MAX(deb_dimJF,Horaires35673413[[#This Row],[début]])),0)+IF(WEEKDAY(Horaires35673413[[#This Row],[Date]],2)=6,MAX(0,Horaires35673413[[#This Row],[Fin corrigée si nuit]]-(1+deb_dimJF)),0))*24-
(IF(WEEKDAY(Horaires35673413[[#This Row],[Date]],2)=7,MAX(0,MIN(fin_dimJF,Horaires35673413[[#This Row],[PNP Fin corrigée]])-MAX(deb_dimJF,Horaires35673413[[#This Row],[PNP Début corrigé]])),0)+IF(WEEKDAY(Horaires35673413[[#This Row],[Date]],2)=6,MAX(0,Horaires35673413[[#This Row],[PNP Fin corrigée]]-(1+deb_dimJF)),0))*24</f>
        <v>0</v>
      </c>
      <c r="R44" s="55">
        <f>(IF(COUNTIF(JF,Horaires35673413[[#This Row],[Date]]),MAX(0,MIN(fin_dimJF,Horaires35673413[[#This Row],[Fin corrigée si nuit]])-MAX(deb_dimJF,Horaires35673413[[#This Row],[début]])),0)+IF(COUNTIF(JF,Horaires35673413[[#This Row],[Date]]+1),MAX(0,Horaires35673413[[#This Row],[Fin corrigée si nuit]]-(1+deb_dimJF)),0))*24</f>
        <v>0</v>
      </c>
      <c r="S44" s="55">
        <f>(IF(COUNTIF(JF,Horaires35673413[[#This Row],[Date]]),MAX(0,MIN(fin_dimJF,Horaires35673413[[#This Row],[Fin corrigée si nuit]])-MAX(deb_dimJF,Horaires35673413[[#This Row],[début]])),0)+IF(COUNTIF(JF,Horaires35673413[[#This Row],[Date]]+1),MAX(0,Horaires35673413[[#This Row],[Fin corrigée si nuit]]-(1+deb_dimJF)),0))*24-
(IF(COUNTIF(JF,Horaires35673413[[#This Row],[Date]]),MAX(0,MIN(fin_dimJF,Horaires35673413[[#This Row],[PNP Fin corrigée]])-MAX(deb_dimJF,Horaires35673413[[#This Row],[PNP Début corrigé]])),0)+IF(COUNTIF(JF,Horaires35673413[[#This Row],[Date]]+1),MAX(0,Horaires35673413[[#This Row],[PNP Fin corrigée]]-(1+deb_dimJF)),0))*24</f>
        <v>0</v>
      </c>
    </row>
    <row r="45" spans="1:19" x14ac:dyDescent="0.35">
      <c r="A45" s="5"/>
      <c r="B45" s="1"/>
      <c r="C45" s="2"/>
      <c r="D45" s="2"/>
      <c r="E45" s="3"/>
      <c r="F45" s="3"/>
      <c r="G45" s="3"/>
      <c r="H45" s="3"/>
      <c r="I45" s="51">
        <f>0.1*(Horaires35673413[[#This Row],[Heures de nuit]]+Horaires35673413[[#This Row],[heures jour dimanche]]+Horaires35673413[[#This Row],[heures jour fériés]])</f>
        <v>0</v>
      </c>
      <c r="J45" s="52">
        <f>(MOD(Horaires35673413[[#This Row],[Fin]]-Horaires35673413[[#This Row],[début]],1)-MOD(Horaires35673413[[#This Row],[PNP Fin]]-Horaires35673413[[#This Row],[PNP Début]],1))*24</f>
        <v>0</v>
      </c>
      <c r="K45" s="53">
        <f>IF(Horaires35673413[[#This Row],[PNP Début]]=0,0,IF(Horaires35673413[[#This Row],[PNP Début]]&lt;Horaires35673413[[#This Row],[début]],1,0)+Horaires35673413[[#This Row],[PNP Début]])</f>
        <v>0</v>
      </c>
      <c r="L45" s="54">
        <f>IF(Horaires35673413[[#This Row],[PNP Fin]]=0,0,IF(Horaires35673413[[#This Row],[PNP Fin]]&lt;Horaires35673413[[#This Row],[début]],1,0)+Horaires35673413[[#This Row],[PNP Fin]])</f>
        <v>0</v>
      </c>
      <c r="M45" s="54">
        <f>IF(Horaires35673413[[#This Row],[Fin]]&lt;Horaires35673413[[#This Row],[début]],1,0)+Horaires35673413[[#This Row],[Fin]]</f>
        <v>0</v>
      </c>
      <c r="N45" s="35">
        <f>IF(Horaires35673413[[#This Row],[Fin]]&lt;Horaires35673413[[#This Row],[début]],MAX(0,MIN(Horaires35673413[[#This Row],[Fin corrigée si nuit]],fin_nuit)-MAX(Horaires35673413[[#This Row],[début]],deb_nuit))*24,(MAX(deb_nuit,Horaires35673413[[#This Row],[Fin]])-MAX(deb_nuit,Horaires35673413[[#This Row],[début]])+MAX(MIN(fin_nuit-1,Horaires35673413[[#This Row],[Fin]])-MIN(fin_nuit-1,Horaires35673413[[#This Row],[début]]),0))*24)</f>
        <v>0</v>
      </c>
      <c r="O45" s="55">
        <f>(MAX(0,MIN(Horaires35673413[[#This Row],[Fin corrigée si nuit]],fin_nuit)-MAX(Horaires35673413[[#This Row],[début]],deb_nuit))-IF(Horaires35673413[[#This Row],[PNP Début]]=0,0,MIN(Horaires35673413[[#This Row],[PNP Fin corrigée]],fin_nuit)-MAX(Horaires35673413[[#This Row],[PNP Début corrigé]],deb_nuit)))*24</f>
        <v>0</v>
      </c>
      <c r="P45" s="55">
        <f>(IF(WEEKDAY(Horaires35673413[[#This Row],[Date]],2)=7,MAX(0,MIN(fin_dimJF,Horaires35673413[[#This Row],[Fin corrigée si nuit]])-MAX(deb_dimJF,Horaires35673413[[#This Row],[début]])),0)+IF(WEEKDAY(Horaires35673413[[#This Row],[Date]],2)=6,MAX(0,Horaires35673413[[#This Row],[Fin corrigée si nuit]]-(1+deb_dimJF)),0))*24</f>
        <v>0</v>
      </c>
      <c r="Q45" s="55">
        <f>(IF(WEEKDAY(Horaires35673413[[#This Row],[Date]],2)=7,MAX(0,MIN(fin_dimJF,Horaires35673413[[#This Row],[Fin corrigée si nuit]])-MAX(deb_dimJF,Horaires35673413[[#This Row],[début]])),0)+IF(WEEKDAY(Horaires35673413[[#This Row],[Date]],2)=6,MAX(0,Horaires35673413[[#This Row],[Fin corrigée si nuit]]-(1+deb_dimJF)),0))*24-
(IF(WEEKDAY(Horaires35673413[[#This Row],[Date]],2)=7,MAX(0,MIN(fin_dimJF,Horaires35673413[[#This Row],[PNP Fin corrigée]])-MAX(deb_dimJF,Horaires35673413[[#This Row],[PNP Début corrigé]])),0)+IF(WEEKDAY(Horaires35673413[[#This Row],[Date]],2)=6,MAX(0,Horaires35673413[[#This Row],[PNP Fin corrigée]]-(1+deb_dimJF)),0))*24</f>
        <v>0</v>
      </c>
      <c r="R45" s="55">
        <f>(IF(COUNTIF(JF,Horaires35673413[[#This Row],[Date]]),MAX(0,MIN(fin_dimJF,Horaires35673413[[#This Row],[Fin corrigée si nuit]])-MAX(deb_dimJF,Horaires35673413[[#This Row],[début]])),0)+IF(COUNTIF(JF,Horaires35673413[[#This Row],[Date]]+1),MAX(0,Horaires35673413[[#This Row],[Fin corrigée si nuit]]-(1+deb_dimJF)),0))*24</f>
        <v>0</v>
      </c>
      <c r="S45" s="55">
        <f>(IF(COUNTIF(JF,Horaires35673413[[#This Row],[Date]]),MAX(0,MIN(fin_dimJF,Horaires35673413[[#This Row],[Fin corrigée si nuit]])-MAX(deb_dimJF,Horaires35673413[[#This Row],[début]])),0)+IF(COUNTIF(JF,Horaires35673413[[#This Row],[Date]]+1),MAX(0,Horaires35673413[[#This Row],[Fin corrigée si nuit]]-(1+deb_dimJF)),0))*24-
(IF(COUNTIF(JF,Horaires35673413[[#This Row],[Date]]),MAX(0,MIN(fin_dimJF,Horaires35673413[[#This Row],[PNP Fin corrigée]])-MAX(deb_dimJF,Horaires35673413[[#This Row],[PNP Début corrigé]])),0)+IF(COUNTIF(JF,Horaires35673413[[#This Row],[Date]]+1),MAX(0,Horaires35673413[[#This Row],[PNP Fin corrigée]]-(1+deb_dimJF)),0))*24</f>
        <v>0</v>
      </c>
    </row>
    <row r="46" spans="1:19" x14ac:dyDescent="0.35">
      <c r="A46" s="5"/>
      <c r="B46" s="1"/>
      <c r="C46" s="2"/>
      <c r="D46" s="2"/>
      <c r="E46" s="3"/>
      <c r="F46" s="3"/>
      <c r="G46" s="3"/>
      <c r="H46" s="3"/>
      <c r="I46" s="51">
        <f>0.1*(Horaires35673413[[#This Row],[Heures de nuit]]+Horaires35673413[[#This Row],[heures jour dimanche]]+Horaires35673413[[#This Row],[heures jour fériés]])</f>
        <v>0</v>
      </c>
      <c r="J46" s="52">
        <f>(MOD(Horaires35673413[[#This Row],[Fin]]-Horaires35673413[[#This Row],[début]],1)-MOD(Horaires35673413[[#This Row],[PNP Fin]]-Horaires35673413[[#This Row],[PNP Début]],1))*24</f>
        <v>0</v>
      </c>
      <c r="K46" s="53">
        <f>IF(Horaires35673413[[#This Row],[PNP Début]]=0,0,IF(Horaires35673413[[#This Row],[PNP Début]]&lt;Horaires35673413[[#This Row],[début]],1,0)+Horaires35673413[[#This Row],[PNP Début]])</f>
        <v>0</v>
      </c>
      <c r="L46" s="54">
        <f>IF(Horaires35673413[[#This Row],[PNP Fin]]=0,0,IF(Horaires35673413[[#This Row],[PNP Fin]]&lt;Horaires35673413[[#This Row],[début]],1,0)+Horaires35673413[[#This Row],[PNP Fin]])</f>
        <v>0</v>
      </c>
      <c r="M46" s="54">
        <f>IF(Horaires35673413[[#This Row],[Fin]]&lt;Horaires35673413[[#This Row],[début]],1,0)+Horaires35673413[[#This Row],[Fin]]</f>
        <v>0</v>
      </c>
      <c r="N46" s="35">
        <f>IF(Horaires35673413[[#This Row],[Fin]]&lt;Horaires35673413[[#This Row],[début]],MAX(0,MIN(Horaires35673413[[#This Row],[Fin corrigée si nuit]],fin_nuit)-MAX(Horaires35673413[[#This Row],[début]],deb_nuit))*24,(MAX(deb_nuit,Horaires35673413[[#This Row],[Fin]])-MAX(deb_nuit,Horaires35673413[[#This Row],[début]])+MAX(MIN(fin_nuit-1,Horaires35673413[[#This Row],[Fin]])-MIN(fin_nuit-1,Horaires35673413[[#This Row],[début]]),0))*24)</f>
        <v>0</v>
      </c>
      <c r="O46" s="55">
        <f>(MAX(0,MIN(Horaires35673413[[#This Row],[Fin corrigée si nuit]],fin_nuit)-MAX(Horaires35673413[[#This Row],[début]],deb_nuit))-IF(Horaires35673413[[#This Row],[PNP Début]]=0,0,MIN(Horaires35673413[[#This Row],[PNP Fin corrigée]],fin_nuit)-MAX(Horaires35673413[[#This Row],[PNP Début corrigé]],deb_nuit)))*24</f>
        <v>0</v>
      </c>
      <c r="P46" s="55">
        <f>(IF(WEEKDAY(Horaires35673413[[#This Row],[Date]],2)=7,MAX(0,MIN(fin_dimJF,Horaires35673413[[#This Row],[Fin corrigée si nuit]])-MAX(deb_dimJF,Horaires35673413[[#This Row],[début]])),0)+IF(WEEKDAY(Horaires35673413[[#This Row],[Date]],2)=6,MAX(0,Horaires35673413[[#This Row],[Fin corrigée si nuit]]-(1+deb_dimJF)),0))*24</f>
        <v>0</v>
      </c>
      <c r="Q46" s="55">
        <f>(IF(WEEKDAY(Horaires35673413[[#This Row],[Date]],2)=7,MAX(0,MIN(fin_dimJF,Horaires35673413[[#This Row],[Fin corrigée si nuit]])-MAX(deb_dimJF,Horaires35673413[[#This Row],[début]])),0)+IF(WEEKDAY(Horaires35673413[[#This Row],[Date]],2)=6,MAX(0,Horaires35673413[[#This Row],[Fin corrigée si nuit]]-(1+deb_dimJF)),0))*24-
(IF(WEEKDAY(Horaires35673413[[#This Row],[Date]],2)=7,MAX(0,MIN(fin_dimJF,Horaires35673413[[#This Row],[PNP Fin corrigée]])-MAX(deb_dimJF,Horaires35673413[[#This Row],[PNP Début corrigé]])),0)+IF(WEEKDAY(Horaires35673413[[#This Row],[Date]],2)=6,MAX(0,Horaires35673413[[#This Row],[PNP Fin corrigée]]-(1+deb_dimJF)),0))*24</f>
        <v>0</v>
      </c>
      <c r="R46" s="55">
        <f>(IF(COUNTIF(JF,Horaires35673413[[#This Row],[Date]]),MAX(0,MIN(fin_dimJF,Horaires35673413[[#This Row],[Fin corrigée si nuit]])-MAX(deb_dimJF,Horaires35673413[[#This Row],[début]])),0)+IF(COUNTIF(JF,Horaires35673413[[#This Row],[Date]]+1),MAX(0,Horaires35673413[[#This Row],[Fin corrigée si nuit]]-(1+deb_dimJF)),0))*24</f>
        <v>0</v>
      </c>
      <c r="S46" s="55">
        <f>(IF(COUNTIF(JF,Horaires35673413[[#This Row],[Date]]),MAX(0,MIN(fin_dimJF,Horaires35673413[[#This Row],[Fin corrigée si nuit]])-MAX(deb_dimJF,Horaires35673413[[#This Row],[début]])),0)+IF(COUNTIF(JF,Horaires35673413[[#This Row],[Date]]+1),MAX(0,Horaires35673413[[#This Row],[Fin corrigée si nuit]]-(1+deb_dimJF)),0))*24-
(IF(COUNTIF(JF,Horaires35673413[[#This Row],[Date]]),MAX(0,MIN(fin_dimJF,Horaires35673413[[#This Row],[PNP Fin corrigée]])-MAX(deb_dimJF,Horaires35673413[[#This Row],[PNP Début corrigé]])),0)+IF(COUNTIF(JF,Horaires35673413[[#This Row],[Date]]+1),MAX(0,Horaires35673413[[#This Row],[PNP Fin corrigée]]-(1+deb_dimJF)),0))*24</f>
        <v>0</v>
      </c>
    </row>
    <row r="47" spans="1:19" x14ac:dyDescent="0.35">
      <c r="A47" s="5"/>
      <c r="B47" s="1"/>
      <c r="C47" s="2"/>
      <c r="D47" s="2"/>
      <c r="E47" s="3"/>
      <c r="F47" s="3"/>
      <c r="G47" s="3"/>
      <c r="H47" s="3"/>
      <c r="I47" s="51">
        <f>0.1*(Horaires35673413[[#This Row],[Heures de nuit]]+Horaires35673413[[#This Row],[heures jour dimanche]]+Horaires35673413[[#This Row],[heures jour fériés]])</f>
        <v>0</v>
      </c>
      <c r="J47" s="52">
        <f>(MOD(Horaires35673413[[#This Row],[Fin]]-Horaires35673413[[#This Row],[début]],1)-MOD(Horaires35673413[[#This Row],[PNP Fin]]-Horaires35673413[[#This Row],[PNP Début]],1))*24</f>
        <v>0</v>
      </c>
      <c r="K47" s="53">
        <f>IF(Horaires35673413[[#This Row],[PNP Début]]=0,0,IF(Horaires35673413[[#This Row],[PNP Début]]&lt;Horaires35673413[[#This Row],[début]],1,0)+Horaires35673413[[#This Row],[PNP Début]])</f>
        <v>0</v>
      </c>
      <c r="L47" s="54">
        <f>IF(Horaires35673413[[#This Row],[PNP Fin]]=0,0,IF(Horaires35673413[[#This Row],[PNP Fin]]&lt;Horaires35673413[[#This Row],[début]],1,0)+Horaires35673413[[#This Row],[PNP Fin]])</f>
        <v>0</v>
      </c>
      <c r="M47" s="54">
        <f>IF(Horaires35673413[[#This Row],[Fin]]&lt;Horaires35673413[[#This Row],[début]],1,0)+Horaires35673413[[#This Row],[Fin]]</f>
        <v>0</v>
      </c>
      <c r="N47" s="35">
        <f>IF(Horaires35673413[[#This Row],[Fin]]&lt;Horaires35673413[[#This Row],[début]],MAX(0,MIN(Horaires35673413[[#This Row],[Fin corrigée si nuit]],fin_nuit)-MAX(Horaires35673413[[#This Row],[début]],deb_nuit))*24,(MAX(deb_nuit,Horaires35673413[[#This Row],[Fin]])-MAX(deb_nuit,Horaires35673413[[#This Row],[début]])+MAX(MIN(fin_nuit-1,Horaires35673413[[#This Row],[Fin]])-MIN(fin_nuit-1,Horaires35673413[[#This Row],[début]]),0))*24)</f>
        <v>0</v>
      </c>
      <c r="O47" s="55">
        <f>(MAX(0,MIN(Horaires35673413[[#This Row],[Fin corrigée si nuit]],fin_nuit)-MAX(Horaires35673413[[#This Row],[début]],deb_nuit))-IF(Horaires35673413[[#This Row],[PNP Début]]=0,0,MIN(Horaires35673413[[#This Row],[PNP Fin corrigée]],fin_nuit)-MAX(Horaires35673413[[#This Row],[PNP Début corrigé]],deb_nuit)))*24</f>
        <v>0</v>
      </c>
      <c r="P47" s="55">
        <f>(IF(WEEKDAY(Horaires35673413[[#This Row],[Date]],2)=7,MAX(0,MIN(fin_dimJF,Horaires35673413[[#This Row],[Fin corrigée si nuit]])-MAX(deb_dimJF,Horaires35673413[[#This Row],[début]])),0)+IF(WEEKDAY(Horaires35673413[[#This Row],[Date]],2)=6,MAX(0,Horaires35673413[[#This Row],[Fin corrigée si nuit]]-(1+deb_dimJF)),0))*24</f>
        <v>0</v>
      </c>
      <c r="Q47" s="55">
        <f>(IF(WEEKDAY(Horaires35673413[[#This Row],[Date]],2)=7,MAX(0,MIN(fin_dimJF,Horaires35673413[[#This Row],[Fin corrigée si nuit]])-MAX(deb_dimJF,Horaires35673413[[#This Row],[début]])),0)+IF(WEEKDAY(Horaires35673413[[#This Row],[Date]],2)=6,MAX(0,Horaires35673413[[#This Row],[Fin corrigée si nuit]]-(1+deb_dimJF)),0))*24-
(IF(WEEKDAY(Horaires35673413[[#This Row],[Date]],2)=7,MAX(0,MIN(fin_dimJF,Horaires35673413[[#This Row],[PNP Fin corrigée]])-MAX(deb_dimJF,Horaires35673413[[#This Row],[PNP Début corrigé]])),0)+IF(WEEKDAY(Horaires35673413[[#This Row],[Date]],2)=6,MAX(0,Horaires35673413[[#This Row],[PNP Fin corrigée]]-(1+deb_dimJF)),0))*24</f>
        <v>0</v>
      </c>
      <c r="R47" s="55">
        <f>(IF(COUNTIF(JF,Horaires35673413[[#This Row],[Date]]),MAX(0,MIN(fin_dimJF,Horaires35673413[[#This Row],[Fin corrigée si nuit]])-MAX(deb_dimJF,Horaires35673413[[#This Row],[début]])),0)+IF(COUNTIF(JF,Horaires35673413[[#This Row],[Date]]+1),MAX(0,Horaires35673413[[#This Row],[Fin corrigée si nuit]]-(1+deb_dimJF)),0))*24</f>
        <v>0</v>
      </c>
      <c r="S47" s="55">
        <f>(IF(COUNTIF(JF,Horaires35673413[[#This Row],[Date]]),MAX(0,MIN(fin_dimJF,Horaires35673413[[#This Row],[Fin corrigée si nuit]])-MAX(deb_dimJF,Horaires35673413[[#This Row],[début]])),0)+IF(COUNTIF(JF,Horaires35673413[[#This Row],[Date]]+1),MAX(0,Horaires35673413[[#This Row],[Fin corrigée si nuit]]-(1+deb_dimJF)),0))*24-
(IF(COUNTIF(JF,Horaires35673413[[#This Row],[Date]]),MAX(0,MIN(fin_dimJF,Horaires35673413[[#This Row],[PNP Fin corrigée]])-MAX(deb_dimJF,Horaires35673413[[#This Row],[PNP Début corrigé]])),0)+IF(COUNTIF(JF,Horaires35673413[[#This Row],[Date]]+1),MAX(0,Horaires35673413[[#This Row],[PNP Fin corrigée]]-(1+deb_dimJF)),0))*24</f>
        <v>0</v>
      </c>
    </row>
    <row r="48" spans="1:19" x14ac:dyDescent="0.35">
      <c r="A48" s="5"/>
      <c r="B48" s="1"/>
      <c r="C48" s="2"/>
      <c r="D48" s="2"/>
      <c r="E48" s="3"/>
      <c r="F48" s="3"/>
      <c r="G48" s="3"/>
      <c r="H48" s="3"/>
      <c r="I48" s="51">
        <f>0.1*(Horaires35673413[[#This Row],[Heures de nuit]]+Horaires35673413[[#This Row],[heures jour dimanche]]+Horaires35673413[[#This Row],[heures jour fériés]])</f>
        <v>0</v>
      </c>
      <c r="J48" s="52">
        <f>(MOD(Horaires35673413[[#This Row],[Fin]]-Horaires35673413[[#This Row],[début]],1)-MOD(Horaires35673413[[#This Row],[PNP Fin]]-Horaires35673413[[#This Row],[PNP Début]],1))*24</f>
        <v>0</v>
      </c>
      <c r="K48" s="53">
        <f>IF(Horaires35673413[[#This Row],[PNP Début]]=0,0,IF(Horaires35673413[[#This Row],[PNP Début]]&lt;Horaires35673413[[#This Row],[début]],1,0)+Horaires35673413[[#This Row],[PNP Début]])</f>
        <v>0</v>
      </c>
      <c r="L48" s="54">
        <f>IF(Horaires35673413[[#This Row],[PNP Fin]]=0,0,IF(Horaires35673413[[#This Row],[PNP Fin]]&lt;Horaires35673413[[#This Row],[début]],1,0)+Horaires35673413[[#This Row],[PNP Fin]])</f>
        <v>0</v>
      </c>
      <c r="M48" s="54">
        <f>IF(Horaires35673413[[#This Row],[Fin]]&lt;Horaires35673413[[#This Row],[début]],1,0)+Horaires35673413[[#This Row],[Fin]]</f>
        <v>0</v>
      </c>
      <c r="N48" s="35">
        <f>IF(Horaires35673413[[#This Row],[Fin]]&lt;Horaires35673413[[#This Row],[début]],MAX(0,MIN(Horaires35673413[[#This Row],[Fin corrigée si nuit]],fin_nuit)-MAX(Horaires35673413[[#This Row],[début]],deb_nuit))*24,(MAX(deb_nuit,Horaires35673413[[#This Row],[Fin]])-MAX(deb_nuit,Horaires35673413[[#This Row],[début]])+MAX(MIN(fin_nuit-1,Horaires35673413[[#This Row],[Fin]])-MIN(fin_nuit-1,Horaires35673413[[#This Row],[début]]),0))*24)</f>
        <v>0</v>
      </c>
      <c r="O48" s="55">
        <f>(MAX(0,MIN(Horaires35673413[[#This Row],[Fin corrigée si nuit]],fin_nuit)-MAX(Horaires35673413[[#This Row],[début]],deb_nuit))-IF(Horaires35673413[[#This Row],[PNP Début]]=0,0,MIN(Horaires35673413[[#This Row],[PNP Fin corrigée]],fin_nuit)-MAX(Horaires35673413[[#This Row],[PNP Début corrigé]],deb_nuit)))*24</f>
        <v>0</v>
      </c>
      <c r="P48" s="55">
        <f>(IF(WEEKDAY(Horaires35673413[[#This Row],[Date]],2)=7,MAX(0,MIN(fin_dimJF,Horaires35673413[[#This Row],[Fin corrigée si nuit]])-MAX(deb_dimJF,Horaires35673413[[#This Row],[début]])),0)+IF(WEEKDAY(Horaires35673413[[#This Row],[Date]],2)=6,MAX(0,Horaires35673413[[#This Row],[Fin corrigée si nuit]]-(1+deb_dimJF)),0))*24</f>
        <v>0</v>
      </c>
      <c r="Q48" s="55">
        <f>(IF(WEEKDAY(Horaires35673413[[#This Row],[Date]],2)=7,MAX(0,MIN(fin_dimJF,Horaires35673413[[#This Row],[Fin corrigée si nuit]])-MAX(deb_dimJF,Horaires35673413[[#This Row],[début]])),0)+IF(WEEKDAY(Horaires35673413[[#This Row],[Date]],2)=6,MAX(0,Horaires35673413[[#This Row],[Fin corrigée si nuit]]-(1+deb_dimJF)),0))*24-
(IF(WEEKDAY(Horaires35673413[[#This Row],[Date]],2)=7,MAX(0,MIN(fin_dimJF,Horaires35673413[[#This Row],[PNP Fin corrigée]])-MAX(deb_dimJF,Horaires35673413[[#This Row],[PNP Début corrigé]])),0)+IF(WEEKDAY(Horaires35673413[[#This Row],[Date]],2)=6,MAX(0,Horaires35673413[[#This Row],[PNP Fin corrigée]]-(1+deb_dimJF)),0))*24</f>
        <v>0</v>
      </c>
      <c r="R48" s="55">
        <f>(IF(COUNTIF(JF,Horaires35673413[[#This Row],[Date]]),MAX(0,MIN(fin_dimJF,Horaires35673413[[#This Row],[Fin corrigée si nuit]])-MAX(deb_dimJF,Horaires35673413[[#This Row],[début]])),0)+IF(COUNTIF(JF,Horaires35673413[[#This Row],[Date]]+1),MAX(0,Horaires35673413[[#This Row],[Fin corrigée si nuit]]-(1+deb_dimJF)),0))*24</f>
        <v>0</v>
      </c>
      <c r="S48" s="55">
        <f>(IF(COUNTIF(JF,Horaires35673413[[#This Row],[Date]]),MAX(0,MIN(fin_dimJF,Horaires35673413[[#This Row],[Fin corrigée si nuit]])-MAX(deb_dimJF,Horaires35673413[[#This Row],[début]])),0)+IF(COUNTIF(JF,Horaires35673413[[#This Row],[Date]]+1),MAX(0,Horaires35673413[[#This Row],[Fin corrigée si nuit]]-(1+deb_dimJF)),0))*24-
(IF(COUNTIF(JF,Horaires35673413[[#This Row],[Date]]),MAX(0,MIN(fin_dimJF,Horaires35673413[[#This Row],[PNP Fin corrigée]])-MAX(deb_dimJF,Horaires35673413[[#This Row],[PNP Début corrigé]])),0)+IF(COUNTIF(JF,Horaires35673413[[#This Row],[Date]]+1),MAX(0,Horaires35673413[[#This Row],[PNP Fin corrigée]]-(1+deb_dimJF)),0))*24</f>
        <v>0</v>
      </c>
    </row>
    <row r="49" spans="1:19" ht="15" thickBot="1" x14ac:dyDescent="0.4">
      <c r="A49" s="5"/>
      <c r="B49" s="1"/>
      <c r="C49" s="2"/>
      <c r="D49" s="2"/>
      <c r="E49" s="3"/>
      <c r="F49" s="3"/>
      <c r="G49" s="3"/>
      <c r="H49" s="3"/>
      <c r="I49" s="51">
        <f>0.1*(Horaires35673413[[#This Row],[Heures de nuit]]+Horaires35673413[[#This Row],[heures jour dimanche]]+Horaires35673413[[#This Row],[heures jour fériés]])</f>
        <v>0</v>
      </c>
      <c r="J49" s="52">
        <f>(MOD(Horaires35673413[[#This Row],[Fin]]-Horaires35673413[[#This Row],[début]],1)-MOD(Horaires35673413[[#This Row],[PNP Fin]]-Horaires35673413[[#This Row],[PNP Début]],1))*24</f>
        <v>0</v>
      </c>
      <c r="K49" s="53">
        <f>IF(Horaires35673413[[#This Row],[PNP Début]]=0,0,IF(Horaires35673413[[#This Row],[PNP Début]]&lt;Horaires35673413[[#This Row],[début]],1,0)+Horaires35673413[[#This Row],[PNP Début]])</f>
        <v>0</v>
      </c>
      <c r="L49" s="54">
        <f>IF(Horaires35673413[[#This Row],[PNP Fin]]=0,0,IF(Horaires35673413[[#This Row],[PNP Fin]]&lt;Horaires35673413[[#This Row],[début]],1,0)+Horaires35673413[[#This Row],[PNP Fin]])</f>
        <v>0</v>
      </c>
      <c r="M49" s="54">
        <f>IF(Horaires35673413[[#This Row],[Fin]]&lt;Horaires35673413[[#This Row],[début]],1,0)+Horaires35673413[[#This Row],[Fin]]</f>
        <v>0</v>
      </c>
      <c r="N49" s="35">
        <f>IF(Horaires35673413[[#This Row],[Fin]]&lt;Horaires35673413[[#This Row],[début]],MAX(0,MIN(Horaires35673413[[#This Row],[Fin corrigée si nuit]],fin_nuit)-MAX(Horaires35673413[[#This Row],[début]],deb_nuit))*24,(MAX(deb_nuit,Horaires35673413[[#This Row],[Fin]])-MAX(deb_nuit,Horaires35673413[[#This Row],[début]])+MAX(MIN(fin_nuit-1,Horaires35673413[[#This Row],[Fin]])-MIN(fin_nuit-1,Horaires35673413[[#This Row],[début]]),0))*24)</f>
        <v>0</v>
      </c>
      <c r="O49" s="55">
        <f>(MAX(0,MIN(Horaires35673413[[#This Row],[Fin corrigée si nuit]],fin_nuit)-MAX(Horaires35673413[[#This Row],[début]],deb_nuit))-IF(Horaires35673413[[#This Row],[PNP Début]]=0,0,MIN(Horaires35673413[[#This Row],[PNP Fin corrigée]],fin_nuit)-MAX(Horaires35673413[[#This Row],[PNP Début corrigé]],deb_nuit)))*24</f>
        <v>0</v>
      </c>
      <c r="P49" s="55">
        <f>(IF(WEEKDAY(Horaires35673413[[#This Row],[Date]],2)=7,MAX(0,MIN(fin_dimJF,Horaires35673413[[#This Row],[Fin corrigée si nuit]])-MAX(deb_dimJF,Horaires35673413[[#This Row],[début]])),0)+IF(WEEKDAY(Horaires35673413[[#This Row],[Date]],2)=6,MAX(0,Horaires35673413[[#This Row],[Fin corrigée si nuit]]-(1+deb_dimJF)),0))*24</f>
        <v>0</v>
      </c>
      <c r="Q49" s="55">
        <f>(IF(WEEKDAY(Horaires35673413[[#This Row],[Date]],2)=7,MAX(0,MIN(fin_dimJF,Horaires35673413[[#This Row],[Fin corrigée si nuit]])-MAX(deb_dimJF,Horaires35673413[[#This Row],[début]])),0)+IF(WEEKDAY(Horaires35673413[[#This Row],[Date]],2)=6,MAX(0,Horaires35673413[[#This Row],[Fin corrigée si nuit]]-(1+deb_dimJF)),0))*24-
(IF(WEEKDAY(Horaires35673413[[#This Row],[Date]],2)=7,MAX(0,MIN(fin_dimJF,Horaires35673413[[#This Row],[PNP Fin corrigée]])-MAX(deb_dimJF,Horaires35673413[[#This Row],[PNP Début corrigé]])),0)+IF(WEEKDAY(Horaires35673413[[#This Row],[Date]],2)=6,MAX(0,Horaires35673413[[#This Row],[PNP Fin corrigée]]-(1+deb_dimJF)),0))*24</f>
        <v>0</v>
      </c>
      <c r="R49" s="55">
        <f>(IF(COUNTIF(JF,Horaires35673413[[#This Row],[Date]]),MAX(0,MIN(fin_dimJF,Horaires35673413[[#This Row],[Fin corrigée si nuit]])-MAX(deb_dimJF,Horaires35673413[[#This Row],[début]])),0)+IF(COUNTIF(JF,Horaires35673413[[#This Row],[Date]]+1),MAX(0,Horaires35673413[[#This Row],[Fin corrigée si nuit]]-(1+deb_dimJF)),0))*24</f>
        <v>0</v>
      </c>
      <c r="S49" s="55">
        <f>(IF(COUNTIF(JF,Horaires35673413[[#This Row],[Date]]),MAX(0,MIN(fin_dimJF,Horaires35673413[[#This Row],[Fin corrigée si nuit]])-MAX(deb_dimJF,Horaires35673413[[#This Row],[début]])),0)+IF(COUNTIF(JF,Horaires35673413[[#This Row],[Date]]+1),MAX(0,Horaires35673413[[#This Row],[Fin corrigée si nuit]]-(1+deb_dimJF)),0))*24-
(IF(COUNTIF(JF,Horaires35673413[[#This Row],[Date]]),MAX(0,MIN(fin_dimJF,Horaires35673413[[#This Row],[PNP Fin corrigée]])-MAX(deb_dimJF,Horaires35673413[[#This Row],[PNP Début corrigé]])),0)+IF(COUNTIF(JF,Horaires35673413[[#This Row],[Date]]+1),MAX(0,Horaires35673413[[#This Row],[PNP Fin corrigée]]-(1+deb_dimJF)),0))*24</f>
        <v>0</v>
      </c>
    </row>
    <row r="50" spans="1:19" ht="16" thickBot="1" x14ac:dyDescent="0.4">
      <c r="A50" s="56"/>
      <c r="B50" s="19"/>
      <c r="C50" s="19"/>
      <c r="D50" s="19"/>
      <c r="E50" s="113" t="s">
        <v>29</v>
      </c>
      <c r="F50" s="114"/>
      <c r="G50" s="114"/>
      <c r="H50" s="115"/>
      <c r="I50" s="57">
        <f>SUM(Horaires35673413[Majoration])</f>
        <v>0</v>
      </c>
      <c r="J50" s="58">
        <f>SUM(Horaires35673413[Heures totales payées])</f>
        <v>0</v>
      </c>
      <c r="K50" s="19"/>
      <c r="L50" s="19"/>
      <c r="M50" s="19"/>
      <c r="N50" s="19"/>
      <c r="O50" s="19"/>
      <c r="P50" s="19"/>
      <c r="Q50" s="19"/>
      <c r="R50" s="19"/>
      <c r="S50" s="19"/>
    </row>
    <row r="51" spans="1:19" ht="17.399999999999999" customHeight="1" x14ac:dyDescent="0.35">
      <c r="A51" s="116" t="s">
        <v>30</v>
      </c>
      <c r="B51" s="116"/>
      <c r="C51" s="116"/>
      <c r="D51" s="116"/>
      <c r="E51" s="19"/>
      <c r="F51" s="19"/>
      <c r="G51" s="117" t="s">
        <v>31</v>
      </c>
      <c r="H51" s="117"/>
      <c r="I51" s="117"/>
      <c r="J51" s="117"/>
      <c r="K51" s="19"/>
      <c r="L51" s="19"/>
      <c r="M51" s="19"/>
      <c r="N51" s="19"/>
      <c r="O51" s="19"/>
      <c r="P51" s="19"/>
      <c r="Q51" s="19"/>
      <c r="R51" s="19"/>
      <c r="S51" s="19"/>
    </row>
    <row r="52" spans="1:19" x14ac:dyDescent="0.35">
      <c r="A52" s="118"/>
      <c r="B52" s="119"/>
      <c r="C52" s="119"/>
      <c r="D52" s="120"/>
      <c r="E52" s="56"/>
      <c r="F52" s="19"/>
      <c r="G52" s="118"/>
      <c r="H52" s="119"/>
      <c r="I52" s="119"/>
      <c r="J52" s="119"/>
      <c r="K52" s="19"/>
      <c r="L52" s="19"/>
      <c r="M52" s="19"/>
      <c r="N52" s="19"/>
      <c r="O52" s="19"/>
      <c r="P52" s="19"/>
      <c r="Q52" s="19"/>
      <c r="R52" s="19"/>
      <c r="S52" s="19"/>
    </row>
    <row r="53" spans="1:19" x14ac:dyDescent="0.35">
      <c r="A53" s="121"/>
      <c r="B53" s="122"/>
      <c r="C53" s="122"/>
      <c r="D53" s="123"/>
      <c r="E53" s="19"/>
      <c r="F53" s="19"/>
      <c r="G53" s="121"/>
      <c r="H53" s="122"/>
      <c r="I53" s="122"/>
      <c r="J53" s="122"/>
      <c r="K53" s="19"/>
      <c r="L53" s="19"/>
      <c r="M53" s="19"/>
      <c r="N53" s="19"/>
      <c r="O53" s="19"/>
      <c r="P53" s="19"/>
      <c r="Q53" s="19"/>
      <c r="R53" s="19"/>
      <c r="S53" s="19"/>
    </row>
    <row r="54" spans="1:19" ht="7.75" customHeight="1" x14ac:dyDescent="0.35">
      <c r="A54" s="124"/>
      <c r="B54" s="125"/>
      <c r="C54" s="125"/>
      <c r="D54" s="126"/>
      <c r="E54" s="56"/>
      <c r="F54" s="19"/>
      <c r="G54" s="124"/>
      <c r="H54" s="125"/>
      <c r="I54" s="125"/>
      <c r="J54" s="125"/>
      <c r="K54" s="19"/>
      <c r="L54" s="19"/>
      <c r="M54" s="19"/>
      <c r="N54" s="19"/>
      <c r="O54" s="19"/>
      <c r="P54" s="19"/>
      <c r="Q54" s="19"/>
      <c r="R54" s="19"/>
      <c r="S54" s="19"/>
    </row>
    <row r="55" spans="1:19" x14ac:dyDescent="0.35">
      <c r="A55" s="56"/>
      <c r="B55" s="19"/>
      <c r="C55" s="19"/>
      <c r="D55" s="19"/>
      <c r="E55" s="19"/>
      <c r="F55" s="19"/>
      <c r="G55" s="19"/>
      <c r="H55" s="19"/>
      <c r="I55" s="19"/>
      <c r="J55" s="62"/>
      <c r="K55" s="19"/>
      <c r="L55" s="19"/>
      <c r="M55" s="19"/>
      <c r="N55" s="19"/>
      <c r="O55" s="19"/>
      <c r="P55" s="19"/>
      <c r="Q55" s="19"/>
      <c r="R55" s="19"/>
      <c r="S55" s="19"/>
    </row>
    <row r="56" spans="1:19" x14ac:dyDescent="0.35">
      <c r="A56" s="19"/>
      <c r="B56" s="19"/>
      <c r="C56" s="19"/>
      <c r="D56" s="19"/>
      <c r="E56" s="19"/>
      <c r="F56" s="19"/>
      <c r="G56" s="19"/>
      <c r="H56" s="19"/>
      <c r="I56" s="19"/>
      <c r="J56" s="20"/>
      <c r="K56" s="19"/>
      <c r="L56" s="19"/>
      <c r="M56" s="19"/>
      <c r="N56" s="19"/>
      <c r="O56" s="19"/>
      <c r="P56" s="19"/>
      <c r="Q56" s="19"/>
      <c r="R56" s="19"/>
      <c r="S56" s="19"/>
    </row>
    <row r="57" spans="1:19" x14ac:dyDescent="0.35">
      <c r="A57" s="19"/>
      <c r="B57" s="19"/>
      <c r="C57" s="19"/>
      <c r="D57" s="19"/>
      <c r="E57" s="19"/>
      <c r="F57" s="19"/>
      <c r="G57" s="19"/>
      <c r="H57" s="19"/>
      <c r="I57" s="19"/>
      <c r="J57" s="20"/>
      <c r="K57" s="19"/>
      <c r="L57" s="19"/>
      <c r="M57" s="19"/>
      <c r="N57" s="19"/>
      <c r="O57" s="19"/>
      <c r="P57" s="19"/>
      <c r="Q57" s="19"/>
      <c r="R57" s="19"/>
      <c r="S57" s="19"/>
    </row>
    <row r="58" spans="1:19" x14ac:dyDescent="0.35">
      <c r="A58" s="19"/>
      <c r="B58" s="19"/>
      <c r="C58" s="19"/>
      <c r="D58" s="19"/>
      <c r="E58" s="19"/>
      <c r="F58" s="19"/>
      <c r="G58" s="19"/>
      <c r="H58" s="19"/>
      <c r="I58" s="19"/>
      <c r="J58" s="20"/>
      <c r="K58" s="19"/>
      <c r="L58" s="19"/>
      <c r="M58" s="19"/>
      <c r="N58" s="19"/>
      <c r="O58" s="19"/>
      <c r="P58" s="19"/>
      <c r="Q58" s="19"/>
      <c r="R58" s="19"/>
      <c r="S58" s="19"/>
    </row>
    <row r="59" spans="1:19" x14ac:dyDescent="0.35">
      <c r="A59" s="19"/>
      <c r="B59" s="19"/>
      <c r="C59" s="19"/>
      <c r="D59" s="19"/>
      <c r="E59" s="19"/>
      <c r="F59" s="19"/>
      <c r="G59" s="19"/>
      <c r="H59" s="19"/>
      <c r="I59" s="19"/>
      <c r="J59" s="20"/>
      <c r="K59" s="19"/>
      <c r="L59" s="19"/>
      <c r="M59" s="19"/>
      <c r="N59" s="19"/>
      <c r="O59" s="19"/>
      <c r="P59" s="19"/>
      <c r="Q59" s="19"/>
      <c r="R59" s="19"/>
      <c r="S59" s="19"/>
    </row>
    <row r="60" spans="1:19" x14ac:dyDescent="0.35">
      <c r="A60" s="19"/>
      <c r="B60" s="19"/>
      <c r="C60" s="19"/>
      <c r="D60" s="19"/>
      <c r="E60" s="19"/>
      <c r="F60" s="19"/>
      <c r="G60" s="19"/>
      <c r="H60" s="19"/>
      <c r="I60" s="19"/>
      <c r="J60" s="20"/>
      <c r="K60" s="19"/>
      <c r="L60" s="19"/>
      <c r="M60" s="19"/>
      <c r="N60" s="19"/>
      <c r="O60" s="19"/>
      <c r="P60" s="19"/>
      <c r="Q60" s="19"/>
      <c r="R60" s="19"/>
      <c r="S60" s="19"/>
    </row>
  </sheetData>
  <sheetProtection selectLockedCells="1"/>
  <mergeCells count="19">
    <mergeCell ref="E50:H50"/>
    <mergeCell ref="A51:D51"/>
    <mergeCell ref="G51:J51"/>
    <mergeCell ref="A52:D54"/>
    <mergeCell ref="G52:J54"/>
    <mergeCell ref="A1:B2"/>
    <mergeCell ref="A3:J4"/>
    <mergeCell ref="D5:F5"/>
    <mergeCell ref="G5:H5"/>
    <mergeCell ref="J9:J11"/>
    <mergeCell ref="C10:C11"/>
    <mergeCell ref="D10:D11"/>
    <mergeCell ref="E10:F10"/>
    <mergeCell ref="G10:H10"/>
    <mergeCell ref="A9:A11"/>
    <mergeCell ref="B9:B11"/>
    <mergeCell ref="C9:D9"/>
    <mergeCell ref="E9:H9"/>
    <mergeCell ref="I9:I11"/>
  </mergeCells>
  <dataValidations count="3">
    <dataValidation allowBlank="1" showInputMessage="1" showErrorMessage="1" error="Tapez les heures sous le format_x000a_00:00" sqref="K12:N49"/>
    <dataValidation type="time" allowBlank="1" showInputMessage="1" showErrorMessage="1" error="Tapez les heures sous le format_x000a_00:00" sqref="C13:H49">
      <formula1>0</formula1>
      <formula2>0.999305555555556</formula2>
    </dataValidation>
    <dataValidation type="date" operator="greaterThan" allowBlank="1" showInputMessage="1" showErrorMessage="1" error="Tapez le mois sous le format suivant_x000a_09/17" promptTitle="Mois du relevé" sqref="I5:J5">
      <formula1>42736</formula1>
    </dataValidation>
  </dataValidations>
  <printOptions horizontalCentered="1"/>
  <pageMargins left="0" right="0" top="0" bottom="0" header="0" footer="0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13313" r:id="rId4" name="CommandButton1">
          <controlPr defaultSize="0" print="0" autoLine="0" r:id="rId5">
            <anchor moveWithCells="1">
              <from>
                <xdr:col>9</xdr:col>
                <xdr:colOff>774700</xdr:colOff>
                <xdr:row>0</xdr:row>
                <xdr:rowOff>190500</xdr:rowOff>
              </from>
              <to>
                <xdr:col>20</xdr:col>
                <xdr:colOff>0</xdr:colOff>
                <xdr:row>4</xdr:row>
                <xdr:rowOff>76200</xdr:rowOff>
              </to>
            </anchor>
          </controlPr>
        </control>
      </mc:Choice>
      <mc:Fallback>
        <control shapeId="13313" r:id="rId4" name="CommandButton1"/>
      </mc:Fallback>
    </mc:AlternateContent>
  </controls>
  <tableParts count="1">
    <tablePart r:id="rId6"/>
  </tableParts>
</worksheet>
</file>

<file path=xl/worksheets/sheet1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4"/>
  <dimension ref="A1:S60"/>
  <sheetViews>
    <sheetView workbookViewId="0">
      <selection activeCell="V10" sqref="V10"/>
    </sheetView>
  </sheetViews>
  <sheetFormatPr baseColWidth="10" defaultRowHeight="14.5" x14ac:dyDescent="0.35"/>
  <cols>
    <col min="1" max="1" width="20.6328125" customWidth="1"/>
    <col min="2" max="2" width="12.90625" customWidth="1"/>
    <col min="3" max="3" width="8.90625" customWidth="1"/>
    <col min="4" max="4" width="7.453125" customWidth="1"/>
    <col min="5" max="5" width="7" customWidth="1"/>
    <col min="6" max="6" width="6.81640625" customWidth="1"/>
    <col min="7" max="7" width="7" customWidth="1"/>
    <col min="8" max="8" width="7.81640625" customWidth="1"/>
    <col min="9" max="9" width="10.81640625" customWidth="1"/>
    <col min="10" max="10" width="11.54296875" style="15" customWidth="1"/>
    <col min="11" max="11" width="14.453125" hidden="1" customWidth="1"/>
    <col min="12" max="12" width="12.08984375" hidden="1" customWidth="1"/>
    <col min="13" max="13" width="15" hidden="1" customWidth="1"/>
    <col min="14" max="15" width="13.81640625" hidden="1" customWidth="1"/>
    <col min="16" max="19" width="15" hidden="1" customWidth="1"/>
  </cols>
  <sheetData>
    <row r="1" spans="1:19" ht="15.65" customHeight="1" x14ac:dyDescent="0.35">
      <c r="A1" s="101" t="s">
        <v>48</v>
      </c>
      <c r="B1" s="101"/>
      <c r="C1" s="16"/>
      <c r="D1" s="16"/>
      <c r="E1" s="17"/>
      <c r="F1" s="17"/>
      <c r="G1" s="17"/>
      <c r="H1" s="18" t="s">
        <v>35</v>
      </c>
      <c r="I1" s="18"/>
      <c r="J1" s="18"/>
      <c r="K1" s="16"/>
      <c r="L1" s="16"/>
      <c r="M1" s="16"/>
      <c r="N1" s="16"/>
      <c r="O1" s="19"/>
      <c r="P1" s="19"/>
      <c r="Q1" s="19"/>
      <c r="R1" s="19"/>
      <c r="S1" s="19"/>
    </row>
    <row r="2" spans="1:19" ht="14.4" customHeight="1" x14ac:dyDescent="0.35">
      <c r="A2" s="101"/>
      <c r="B2" s="101"/>
      <c r="C2" s="16"/>
      <c r="D2" s="16"/>
      <c r="E2" s="16"/>
      <c r="F2" s="16"/>
      <c r="G2" s="16"/>
      <c r="H2" s="16"/>
      <c r="I2" s="16"/>
      <c r="J2" s="20"/>
      <c r="K2" s="16"/>
      <c r="L2" s="16"/>
      <c r="M2" s="16"/>
      <c r="N2" s="16"/>
      <c r="O2" s="19"/>
      <c r="P2" s="19"/>
      <c r="Q2" s="19"/>
      <c r="R2" s="19"/>
      <c r="S2" s="19"/>
    </row>
    <row r="3" spans="1:19" ht="14.4" customHeight="1" x14ac:dyDescent="0.35">
      <c r="A3" s="102" t="s">
        <v>37</v>
      </c>
      <c r="B3" s="102"/>
      <c r="C3" s="102"/>
      <c r="D3" s="102"/>
      <c r="E3" s="102"/>
      <c r="F3" s="102"/>
      <c r="G3" s="102"/>
      <c r="H3" s="102"/>
      <c r="I3" s="102"/>
      <c r="J3" s="102"/>
      <c r="K3" s="16"/>
      <c r="L3" s="16"/>
      <c r="M3" s="16"/>
      <c r="N3" s="16"/>
      <c r="O3" s="19"/>
      <c r="P3" s="19"/>
      <c r="Q3" s="19"/>
      <c r="R3" s="19"/>
      <c r="S3" s="19"/>
    </row>
    <row r="4" spans="1:19" ht="19.25" customHeight="1" thickBot="1" x14ac:dyDescent="0.4">
      <c r="A4" s="103"/>
      <c r="B4" s="103"/>
      <c r="C4" s="103"/>
      <c r="D4" s="103"/>
      <c r="E4" s="103"/>
      <c r="F4" s="103"/>
      <c r="G4" s="103"/>
      <c r="H4" s="103"/>
      <c r="I4" s="103"/>
      <c r="J4" s="103"/>
      <c r="K4" s="19"/>
      <c r="L4" s="19"/>
      <c r="M4" s="19"/>
      <c r="N4" s="19"/>
      <c r="O4" s="19"/>
      <c r="P4" s="19"/>
      <c r="Q4" s="19"/>
      <c r="R4" s="19"/>
      <c r="S4" s="19"/>
    </row>
    <row r="5" spans="1:19" ht="19.75" customHeight="1" x14ac:dyDescent="0.35">
      <c r="A5" s="95" t="s">
        <v>113</v>
      </c>
      <c r="B5" s="96">
        <f>'Janvier 18'!B5</f>
        <v>0</v>
      </c>
      <c r="C5" s="21" t="s">
        <v>36</v>
      </c>
      <c r="D5" s="104">
        <f>'Janvier 18'!D5:F5</f>
        <v>0</v>
      </c>
      <c r="E5" s="105"/>
      <c r="F5" s="105"/>
      <c r="G5" s="106" t="s">
        <v>22</v>
      </c>
      <c r="H5" s="106"/>
      <c r="I5" s="64" t="str">
        <f ca="1">MID(CELL("filename",A1),FIND("]",CELL("filename",A1))+1,99)</f>
        <v>Novembre 18</v>
      </c>
      <c r="J5" s="97"/>
      <c r="K5" s="19"/>
      <c r="L5" s="19"/>
      <c r="M5" s="19"/>
      <c r="N5" s="19"/>
      <c r="O5" s="19"/>
      <c r="P5" s="19"/>
      <c r="Q5" s="19"/>
      <c r="R5" s="19"/>
      <c r="S5" s="19"/>
    </row>
    <row r="6" spans="1:19" ht="9.65" customHeight="1" x14ac:dyDescent="0.35">
      <c r="A6" s="22"/>
      <c r="B6" s="23"/>
      <c r="C6" s="23"/>
      <c r="D6" s="23"/>
      <c r="E6" s="23"/>
      <c r="F6" s="23"/>
      <c r="G6" s="23"/>
      <c r="H6" s="23"/>
      <c r="I6" s="23"/>
      <c r="J6" s="24"/>
      <c r="K6" s="19"/>
      <c r="L6" s="19"/>
      <c r="M6" s="19"/>
      <c r="N6" s="19"/>
      <c r="O6" s="19"/>
      <c r="P6" s="19"/>
      <c r="Q6" s="19"/>
      <c r="R6" s="19"/>
      <c r="S6" s="19"/>
    </row>
    <row r="7" spans="1:19" ht="15" thickBot="1" x14ac:dyDescent="0.4">
      <c r="A7" s="59" t="s">
        <v>23</v>
      </c>
      <c r="B7" s="98">
        <f>'Janvier 18'!B7</f>
        <v>0</v>
      </c>
      <c r="C7" s="25" t="s">
        <v>24</v>
      </c>
      <c r="D7" s="25"/>
      <c r="E7" s="98">
        <f>'Janvier 18'!E7</f>
        <v>0</v>
      </c>
      <c r="F7" s="25"/>
      <c r="G7" s="25"/>
      <c r="H7" s="25"/>
      <c r="I7" s="25"/>
      <c r="J7" s="26"/>
      <c r="K7" s="19"/>
      <c r="L7" s="19"/>
      <c r="M7" s="19"/>
      <c r="N7" s="19"/>
      <c r="O7" s="19"/>
      <c r="P7" s="19"/>
      <c r="Q7" s="19"/>
      <c r="R7" s="19"/>
      <c r="S7" s="19"/>
    </row>
    <row r="8" spans="1:19" ht="9.65" customHeight="1" x14ac:dyDescent="0.35">
      <c r="A8" s="19"/>
      <c r="B8" s="19"/>
      <c r="C8" s="19"/>
      <c r="D8" s="19"/>
      <c r="E8" s="19"/>
      <c r="F8" s="19"/>
      <c r="G8" s="19"/>
      <c r="H8" s="19"/>
      <c r="I8" s="19"/>
      <c r="J8" s="20"/>
      <c r="K8" s="19"/>
      <c r="L8" s="19"/>
      <c r="M8" s="19"/>
      <c r="N8" s="19"/>
      <c r="O8" s="19"/>
      <c r="P8" s="19"/>
      <c r="Q8" s="19"/>
      <c r="R8" s="19"/>
      <c r="S8" s="19"/>
    </row>
    <row r="9" spans="1:19" ht="16.75" customHeight="1" x14ac:dyDescent="0.35">
      <c r="A9" s="111" t="s">
        <v>0</v>
      </c>
      <c r="B9" s="111" t="s">
        <v>1</v>
      </c>
      <c r="C9" s="111" t="s">
        <v>2</v>
      </c>
      <c r="D9" s="111"/>
      <c r="E9" s="110" t="s">
        <v>25</v>
      </c>
      <c r="F9" s="110"/>
      <c r="G9" s="110"/>
      <c r="H9" s="110"/>
      <c r="I9" s="112" t="s">
        <v>21</v>
      </c>
      <c r="J9" s="108" t="s">
        <v>65</v>
      </c>
      <c r="K9" s="19"/>
      <c r="L9" s="19"/>
      <c r="M9" s="19"/>
      <c r="N9" s="19"/>
      <c r="O9" s="19"/>
      <c r="P9" s="19"/>
      <c r="Q9" s="19"/>
      <c r="R9" s="19"/>
      <c r="S9" s="19"/>
    </row>
    <row r="10" spans="1:19" x14ac:dyDescent="0.35">
      <c r="A10" s="111"/>
      <c r="B10" s="111"/>
      <c r="C10" s="109" t="s">
        <v>3</v>
      </c>
      <c r="D10" s="109" t="s">
        <v>4</v>
      </c>
      <c r="E10" s="110" t="s">
        <v>26</v>
      </c>
      <c r="F10" s="110"/>
      <c r="G10" s="110" t="s">
        <v>27</v>
      </c>
      <c r="H10" s="110"/>
      <c r="I10" s="112"/>
      <c r="J10" s="108"/>
      <c r="K10" s="19"/>
      <c r="L10" s="19"/>
      <c r="M10" s="19"/>
      <c r="N10" s="19"/>
      <c r="O10" s="19"/>
      <c r="P10" s="19"/>
      <c r="Q10" s="19"/>
      <c r="R10" s="19"/>
      <c r="S10" s="19"/>
    </row>
    <row r="11" spans="1:19" x14ac:dyDescent="0.35">
      <c r="A11" s="111"/>
      <c r="B11" s="111"/>
      <c r="C11" s="109"/>
      <c r="D11" s="109"/>
      <c r="E11" s="72" t="s">
        <v>28</v>
      </c>
      <c r="F11" s="72" t="s">
        <v>4</v>
      </c>
      <c r="G11" s="72" t="s">
        <v>28</v>
      </c>
      <c r="H11" s="72" t="s">
        <v>4</v>
      </c>
      <c r="I11" s="112"/>
      <c r="J11" s="108"/>
      <c r="K11" s="27"/>
      <c r="L11" s="19"/>
      <c r="M11" s="19"/>
      <c r="N11" s="19"/>
      <c r="O11" s="19"/>
      <c r="P11" s="19"/>
      <c r="Q11" s="19"/>
      <c r="R11" s="19"/>
      <c r="S11" s="19"/>
    </row>
    <row r="12" spans="1:19" s="8" customFormat="1" ht="43.5" hidden="1" x14ac:dyDescent="0.35">
      <c r="A12" s="28" t="s">
        <v>0</v>
      </c>
      <c r="B12" s="29" t="s">
        <v>1</v>
      </c>
      <c r="C12" s="29" t="s">
        <v>3</v>
      </c>
      <c r="D12" s="29" t="s">
        <v>4</v>
      </c>
      <c r="E12" s="29" t="s">
        <v>8</v>
      </c>
      <c r="F12" s="29" t="s">
        <v>9</v>
      </c>
      <c r="G12" s="29" t="s">
        <v>10</v>
      </c>
      <c r="H12" s="29" t="s">
        <v>11</v>
      </c>
      <c r="I12" s="30" t="s">
        <v>21</v>
      </c>
      <c r="J12" s="29" t="s">
        <v>12</v>
      </c>
      <c r="K12" s="29" t="s">
        <v>18</v>
      </c>
      <c r="L12" s="29" t="s">
        <v>19</v>
      </c>
      <c r="M12" s="29" t="s">
        <v>17</v>
      </c>
      <c r="N12" s="29" t="s">
        <v>32</v>
      </c>
      <c r="O12" s="29" t="s">
        <v>20</v>
      </c>
      <c r="P12" s="29" t="s">
        <v>5</v>
      </c>
      <c r="Q12" s="29" t="s">
        <v>33</v>
      </c>
      <c r="R12" s="31" t="s">
        <v>6</v>
      </c>
      <c r="S12" s="31" t="s">
        <v>34</v>
      </c>
    </row>
    <row r="13" spans="1:19" x14ac:dyDescent="0.35">
      <c r="A13" s="5"/>
      <c r="B13" s="1"/>
      <c r="C13" s="2"/>
      <c r="D13" s="2"/>
      <c r="E13" s="3"/>
      <c r="F13" s="3"/>
      <c r="G13" s="3"/>
      <c r="H13" s="3"/>
      <c r="I13" s="32">
        <f>0.1*(Horaires356734512[[#This Row],[Heures de nuit]]+Horaires356734512[[#This Row],[heures jour dimanche]]+Horaires356734512[[#This Row],[heures jour fériés]])</f>
        <v>0</v>
      </c>
      <c r="J13" s="33">
        <f>(MOD(Horaires356734512[[#This Row],[Fin]]-Horaires356734512[[#This Row],[début]],1)-MOD(Horaires356734512[[#This Row],[PNP Fin]]-Horaires356734512[[#This Row],[PNP Début]],1))*24</f>
        <v>0</v>
      </c>
      <c r="K13" s="34">
        <f>IF(Horaires356734512[[#This Row],[PNP Début]]=0,0,IF(Horaires356734512[[#This Row],[PNP Début]]&lt;Horaires356734512[[#This Row],[début]],1,0)+Horaires356734512[[#This Row],[PNP Début]])</f>
        <v>0</v>
      </c>
      <c r="L13" s="34">
        <f>IF(Horaires356734512[[#This Row],[PNP Fin]]=0,0,IF(Horaires356734512[[#This Row],[PNP Fin]]&lt;Horaires356734512[[#This Row],[début]],1,0)+Horaires356734512[[#This Row],[PNP Fin]])</f>
        <v>0</v>
      </c>
      <c r="M13" s="34">
        <f>IF(Horaires356734512[[#This Row],[Fin]]&lt;Horaires356734512[[#This Row],[début]],1,0)+Horaires356734512[[#This Row],[Fin]]</f>
        <v>0</v>
      </c>
      <c r="N13" s="35">
        <f>IF(Horaires356734512[[#This Row],[Fin]]&lt;Horaires356734512[[#This Row],[début]],MAX(0,MIN(Horaires356734512[[#This Row],[Fin corrigée si nuit]],fin_nuit)-MAX(Horaires356734512[[#This Row],[début]],deb_nuit))*24,(MAX(deb_nuit,Horaires356734512[[#This Row],[Fin]])-MAX(deb_nuit,Horaires356734512[[#This Row],[début]])+MAX(MIN(fin_nuit-1,Horaires356734512[[#This Row],[Fin]])-MIN(fin_nuit-1,Horaires356734512[[#This Row],[début]]),0))*24)</f>
        <v>0</v>
      </c>
      <c r="O13" s="35">
        <f>(MAX(0,MIN(Horaires356734512[[#This Row],[Fin corrigée si nuit]],fin_nuit)-MAX(Horaires356734512[[#This Row],[début]],deb_nuit))-IF(Horaires356734512[[#This Row],[PNP Début]]=0,0,MIN(Horaires356734512[[#This Row],[PNP Fin corrigée]],fin_nuit)-MAX(Horaires356734512[[#This Row],[PNP Début corrigé]],deb_nuit)))*24</f>
        <v>0</v>
      </c>
      <c r="P13" s="35">
        <f>(IF(WEEKDAY(Horaires356734512[[#This Row],[Date]],2)=7,MAX(0,MIN(fin_dimJF,Horaires356734512[[#This Row],[Fin corrigée si nuit]])-MAX(deb_dimJF,Horaires356734512[[#This Row],[début]])),0)+IF(WEEKDAY(Horaires356734512[[#This Row],[Date]],2)=6,MAX(0,Horaires356734512[[#This Row],[Fin corrigée si nuit]]-(1+deb_dimJF)),0))*24</f>
        <v>0</v>
      </c>
      <c r="Q13" s="35">
        <f>(IF(WEEKDAY(Horaires356734512[[#This Row],[Date]],2)=7,MAX(0,MIN(fin_dimJF,Horaires356734512[[#This Row],[Fin corrigée si nuit]])-MAX(deb_dimJF,Horaires356734512[[#This Row],[début]])),0)+IF(WEEKDAY(Horaires356734512[[#This Row],[Date]],2)=6,MAX(0,Horaires356734512[[#This Row],[Fin corrigée si nuit]]-(1+deb_dimJF)),0))*24-
(IF(WEEKDAY(Horaires356734512[[#This Row],[Date]],2)=7,MAX(0,MIN(fin_dimJF,Horaires356734512[[#This Row],[PNP Fin corrigée]])-MAX(deb_dimJF,Horaires356734512[[#This Row],[PNP Début corrigé]])),0)+IF(WEEKDAY(Horaires356734512[[#This Row],[Date]],2)=6,MAX(0,Horaires356734512[[#This Row],[PNP Fin corrigée]]-(1+deb_dimJF)),0))*24</f>
        <v>0</v>
      </c>
      <c r="R13" s="36">
        <f>(IF(COUNTIF(JF,Horaires356734512[[#This Row],[Date]]),MAX(0,MIN(fin_dimJF,Horaires356734512[[#This Row],[Fin corrigée si nuit]])-MAX(deb_dimJF,Horaires356734512[[#This Row],[début]])),0)+IF(COUNTIF(JF,Horaires356734512[[#This Row],[Date]]+1),MAX(0,Horaires356734512[[#This Row],[Fin corrigée si nuit]]-(1+deb_dimJF)),0))*24</f>
        <v>0</v>
      </c>
      <c r="S13" s="36">
        <f>(IF(COUNTIF(JF,Horaires356734512[[#This Row],[Date]]),MAX(0,MIN(fin_dimJF,Horaires356734512[[#This Row],[Fin corrigée si nuit]])-MAX(deb_dimJF,Horaires356734512[[#This Row],[début]])),0)+IF(COUNTIF(JF,Horaires356734512[[#This Row],[Date]]+1),MAX(0,Horaires356734512[[#This Row],[Fin corrigée si nuit]]-(1+deb_dimJF)),0))*24-
(IF(COUNTIF(JF,Horaires356734512[[#This Row],[Date]]),MAX(0,MIN(fin_dimJF,Horaires356734512[[#This Row],[PNP Fin corrigée]])-MAX(deb_dimJF,Horaires356734512[[#This Row],[PNP Début corrigé]])),0)+IF(COUNTIF(JF,Horaires356734512[[#This Row],[Date]]+1),MAX(0,Horaires356734512[[#This Row],[PNP Fin corrigée]]-(1+deb_dimJF)),0))*24</f>
        <v>0</v>
      </c>
    </row>
    <row r="14" spans="1:19" x14ac:dyDescent="0.35">
      <c r="A14" s="5"/>
      <c r="B14" s="1"/>
      <c r="C14" s="2"/>
      <c r="D14" s="2"/>
      <c r="E14" s="3"/>
      <c r="F14" s="3"/>
      <c r="G14" s="3"/>
      <c r="H14" s="3"/>
      <c r="I14" s="32">
        <f>0.1*(Horaires356734512[[#This Row],[Heures de nuit]]+Horaires356734512[[#This Row],[heures jour dimanche]]+Horaires356734512[[#This Row],[heures jour fériés]])</f>
        <v>0</v>
      </c>
      <c r="J14" s="33">
        <f>(MOD(Horaires356734512[[#This Row],[Fin]]-Horaires356734512[[#This Row],[début]],1)-MOD(Horaires356734512[[#This Row],[PNP Fin]]-Horaires356734512[[#This Row],[PNP Début]],1))*24</f>
        <v>0</v>
      </c>
      <c r="K14" s="34">
        <f>IF(Horaires356734512[[#This Row],[PNP Début]]=0,0,IF(Horaires356734512[[#This Row],[PNP Début]]&lt;Horaires356734512[[#This Row],[début]],1,0)+Horaires356734512[[#This Row],[PNP Début]])</f>
        <v>0</v>
      </c>
      <c r="L14" s="34">
        <f>IF(Horaires356734512[[#This Row],[PNP Fin]]=0,0,IF(Horaires356734512[[#This Row],[PNP Fin]]&lt;Horaires356734512[[#This Row],[début]],1,0)+Horaires356734512[[#This Row],[PNP Fin]])</f>
        <v>0</v>
      </c>
      <c r="M14" s="34">
        <f>IF(Horaires356734512[[#This Row],[Fin]]&lt;Horaires356734512[[#This Row],[début]],1,0)+Horaires356734512[[#This Row],[Fin]]</f>
        <v>0</v>
      </c>
      <c r="N14" s="35">
        <f>IF(Horaires356734512[[#This Row],[Fin]]&lt;Horaires356734512[[#This Row],[début]],MAX(0,MIN(Horaires356734512[[#This Row],[Fin corrigée si nuit]],fin_nuit)-MAX(Horaires356734512[[#This Row],[début]],deb_nuit))*24,(MAX(deb_nuit,Horaires356734512[[#This Row],[Fin]])-MAX(deb_nuit,Horaires356734512[[#This Row],[début]])+MAX(MIN(fin_nuit-1,Horaires356734512[[#This Row],[Fin]])-MIN(fin_nuit-1,Horaires356734512[[#This Row],[début]]),0))*24)</f>
        <v>0</v>
      </c>
      <c r="O14" s="35">
        <f>(MAX(0,MIN(Horaires356734512[[#This Row],[Fin corrigée si nuit]],fin_nuit)-MAX(Horaires356734512[[#This Row],[début]],deb_nuit))-IF(Horaires356734512[[#This Row],[PNP Début]]=0,0,MIN(Horaires356734512[[#This Row],[PNP Fin corrigée]],fin_nuit)-MAX(Horaires356734512[[#This Row],[PNP Début corrigé]],deb_nuit)))*24</f>
        <v>0</v>
      </c>
      <c r="P14" s="35">
        <f>(IF(WEEKDAY(Horaires356734512[[#This Row],[Date]],2)=7,MAX(0,MIN(fin_dimJF,Horaires356734512[[#This Row],[Fin corrigée si nuit]])-MAX(deb_dimJF,Horaires356734512[[#This Row],[début]])),0)+IF(WEEKDAY(Horaires356734512[[#This Row],[Date]],2)=6,MAX(0,Horaires356734512[[#This Row],[Fin corrigée si nuit]]-(1+deb_dimJF)),0))*24</f>
        <v>0</v>
      </c>
      <c r="Q14" s="35">
        <f>(IF(WEEKDAY(Horaires356734512[[#This Row],[Date]],2)=7,MAX(0,MIN(fin_dimJF,Horaires356734512[[#This Row],[Fin corrigée si nuit]])-MAX(deb_dimJF,Horaires356734512[[#This Row],[début]])),0)+IF(WEEKDAY(Horaires356734512[[#This Row],[Date]],2)=6,MAX(0,Horaires356734512[[#This Row],[Fin corrigée si nuit]]-(1+deb_dimJF)),0))*24-
(IF(WEEKDAY(Horaires356734512[[#This Row],[Date]],2)=7,MAX(0,MIN(fin_dimJF,Horaires356734512[[#This Row],[PNP Fin corrigée]])-MAX(deb_dimJF,Horaires356734512[[#This Row],[PNP Début corrigé]])),0)+IF(WEEKDAY(Horaires356734512[[#This Row],[Date]],2)=6,MAX(0,Horaires356734512[[#This Row],[PNP Fin corrigée]]-(1+deb_dimJF)),0))*24</f>
        <v>0</v>
      </c>
      <c r="R14" s="36">
        <f>(IF(COUNTIF(JF,Horaires356734512[[#This Row],[Date]]),MAX(0,MIN(fin_dimJF,Horaires356734512[[#This Row],[Fin corrigée si nuit]])-MAX(deb_dimJF,Horaires356734512[[#This Row],[début]])),0)+IF(COUNTIF(JF,Horaires356734512[[#This Row],[Date]]+1),MAX(0,Horaires356734512[[#This Row],[Fin corrigée si nuit]]-(1+deb_dimJF)),0))*24</f>
        <v>0</v>
      </c>
      <c r="S14" s="36">
        <f>(IF(COUNTIF(JF,Horaires356734512[[#This Row],[Date]]),MAX(0,MIN(fin_dimJF,Horaires356734512[[#This Row],[Fin corrigée si nuit]])-MAX(deb_dimJF,Horaires356734512[[#This Row],[début]])),0)+IF(COUNTIF(JF,Horaires356734512[[#This Row],[Date]]+1),MAX(0,Horaires356734512[[#This Row],[Fin corrigée si nuit]]-(1+deb_dimJF)),0))*24-
(IF(COUNTIF(JF,Horaires356734512[[#This Row],[Date]]),MAX(0,MIN(fin_dimJF,Horaires356734512[[#This Row],[PNP Fin corrigée]])-MAX(deb_dimJF,Horaires356734512[[#This Row],[PNP Début corrigé]])),0)+IF(COUNTIF(JF,Horaires356734512[[#This Row],[Date]]+1),MAX(0,Horaires356734512[[#This Row],[PNP Fin corrigée]]-(1+deb_dimJF)),0))*24</f>
        <v>0</v>
      </c>
    </row>
    <row r="15" spans="1:19" x14ac:dyDescent="0.35">
      <c r="A15" s="5"/>
      <c r="B15" s="1"/>
      <c r="C15" s="2"/>
      <c r="D15" s="2"/>
      <c r="E15" s="3"/>
      <c r="F15" s="3"/>
      <c r="G15" s="3"/>
      <c r="H15" s="3"/>
      <c r="I15" s="32">
        <f>0.1*(Horaires356734512[[#This Row],[Heures de nuit]]+Horaires356734512[[#This Row],[heures jour dimanche]]+Horaires356734512[[#This Row],[heures jour fériés]])</f>
        <v>0</v>
      </c>
      <c r="J15" s="33">
        <f>(MOD(Horaires356734512[[#This Row],[Fin]]-Horaires356734512[[#This Row],[début]],1)-MOD(Horaires356734512[[#This Row],[PNP Fin]]-Horaires356734512[[#This Row],[PNP Début]],1))*24</f>
        <v>0</v>
      </c>
      <c r="K15" s="34">
        <f>IF(Horaires356734512[[#This Row],[PNP Début]]=0,0,IF(Horaires356734512[[#This Row],[PNP Début]]&lt;Horaires356734512[[#This Row],[début]],1,0)+Horaires356734512[[#This Row],[PNP Début]])</f>
        <v>0</v>
      </c>
      <c r="L15" s="34">
        <f>IF(Horaires356734512[[#This Row],[PNP Fin]]=0,0,IF(Horaires356734512[[#This Row],[PNP Fin]]&lt;Horaires356734512[[#This Row],[début]],1,0)+Horaires356734512[[#This Row],[PNP Fin]])</f>
        <v>0</v>
      </c>
      <c r="M15" s="34">
        <f>IF(Horaires356734512[[#This Row],[Fin]]&lt;Horaires356734512[[#This Row],[début]],1,0)+Horaires356734512[[#This Row],[Fin]]</f>
        <v>0</v>
      </c>
      <c r="N15" s="35">
        <f>IF(Horaires356734512[[#This Row],[Fin]]&lt;Horaires356734512[[#This Row],[début]],MAX(0,MIN(Horaires356734512[[#This Row],[Fin corrigée si nuit]],fin_nuit)-MAX(Horaires356734512[[#This Row],[début]],deb_nuit))*24,(MAX(deb_nuit,Horaires356734512[[#This Row],[Fin]])-MAX(deb_nuit,Horaires356734512[[#This Row],[début]])+MAX(MIN(fin_nuit-1,Horaires356734512[[#This Row],[Fin]])-MIN(fin_nuit-1,Horaires356734512[[#This Row],[début]]),0))*24)</f>
        <v>0</v>
      </c>
      <c r="O15" s="35">
        <f>(MAX(0,MIN(Horaires356734512[[#This Row],[Fin corrigée si nuit]],fin_nuit)-MAX(Horaires356734512[[#This Row],[début]],deb_nuit))-IF(Horaires356734512[[#This Row],[PNP Début]]=0,0,MIN(Horaires356734512[[#This Row],[PNP Fin corrigée]],fin_nuit)-MAX(Horaires356734512[[#This Row],[PNP Début corrigé]],deb_nuit)))*24</f>
        <v>0</v>
      </c>
      <c r="P15" s="35">
        <f>(IF(WEEKDAY(Horaires356734512[[#This Row],[Date]],2)=7,MAX(0,MIN(fin_dimJF,Horaires356734512[[#This Row],[Fin corrigée si nuit]])-MAX(deb_dimJF,Horaires356734512[[#This Row],[début]])),0)+IF(WEEKDAY(Horaires356734512[[#This Row],[Date]],2)=6,MAX(0,Horaires356734512[[#This Row],[Fin corrigée si nuit]]-(1+deb_dimJF)),0))*24</f>
        <v>0</v>
      </c>
      <c r="Q15" s="35">
        <f>(IF(WEEKDAY(Horaires356734512[[#This Row],[Date]],2)=7,MAX(0,MIN(fin_dimJF,Horaires356734512[[#This Row],[Fin corrigée si nuit]])-MAX(deb_dimJF,Horaires356734512[[#This Row],[début]])),0)+IF(WEEKDAY(Horaires356734512[[#This Row],[Date]],2)=6,MAX(0,Horaires356734512[[#This Row],[Fin corrigée si nuit]]-(1+deb_dimJF)),0))*24-
(IF(WEEKDAY(Horaires356734512[[#This Row],[Date]],2)=7,MAX(0,MIN(fin_dimJF,Horaires356734512[[#This Row],[PNP Fin corrigée]])-MAX(deb_dimJF,Horaires356734512[[#This Row],[PNP Début corrigé]])),0)+IF(WEEKDAY(Horaires356734512[[#This Row],[Date]],2)=6,MAX(0,Horaires356734512[[#This Row],[PNP Fin corrigée]]-(1+deb_dimJF)),0))*24</f>
        <v>0</v>
      </c>
      <c r="R15" s="36">
        <f>(IF(COUNTIF(JF,Horaires356734512[[#This Row],[Date]]),MAX(0,MIN(fin_dimJF,Horaires356734512[[#This Row],[Fin corrigée si nuit]])-MAX(deb_dimJF,Horaires356734512[[#This Row],[début]])),0)+IF(COUNTIF(JF,Horaires356734512[[#This Row],[Date]]+1),MAX(0,Horaires356734512[[#This Row],[Fin corrigée si nuit]]-(1+deb_dimJF)),0))*24</f>
        <v>0</v>
      </c>
      <c r="S15" s="36">
        <f>(IF(COUNTIF(JF,Horaires356734512[[#This Row],[Date]]),MAX(0,MIN(fin_dimJF,Horaires356734512[[#This Row],[Fin corrigée si nuit]])-MAX(deb_dimJF,Horaires356734512[[#This Row],[début]])),0)+IF(COUNTIF(JF,Horaires356734512[[#This Row],[Date]]+1),MAX(0,Horaires356734512[[#This Row],[Fin corrigée si nuit]]-(1+deb_dimJF)),0))*24-
(IF(COUNTIF(JF,Horaires356734512[[#This Row],[Date]]),MAX(0,MIN(fin_dimJF,Horaires356734512[[#This Row],[PNP Fin corrigée]])-MAX(deb_dimJF,Horaires356734512[[#This Row],[PNP Début corrigé]])),0)+IF(COUNTIF(JF,Horaires356734512[[#This Row],[Date]]+1),MAX(0,Horaires356734512[[#This Row],[PNP Fin corrigée]]-(1+deb_dimJF)),0))*24</f>
        <v>0</v>
      </c>
    </row>
    <row r="16" spans="1:19" x14ac:dyDescent="0.35">
      <c r="A16" s="5"/>
      <c r="B16" s="6"/>
      <c r="C16" s="2"/>
      <c r="D16" s="2"/>
      <c r="E16" s="3"/>
      <c r="F16" s="3"/>
      <c r="G16" s="7"/>
      <c r="H16" s="7"/>
      <c r="I16" s="32">
        <f>0.1*(Horaires356734512[[#This Row],[Heures de nuit]]+Horaires356734512[[#This Row],[heures jour dimanche]]+Horaires356734512[[#This Row],[heures jour fériés]])</f>
        <v>0</v>
      </c>
      <c r="J16" s="37">
        <f>(MOD(Horaires356734512[[#This Row],[Fin]]-Horaires356734512[[#This Row],[début]],1)-MOD(Horaires356734512[[#This Row],[PNP Fin]]-Horaires356734512[[#This Row],[PNP Début]],1))*24</f>
        <v>0</v>
      </c>
      <c r="K16" s="34">
        <f>IF(Horaires356734512[[#This Row],[PNP Début]]=0,0,IF(Horaires356734512[[#This Row],[PNP Début]]&lt;Horaires356734512[[#This Row],[début]],1,0)+Horaires356734512[[#This Row],[PNP Début]])</f>
        <v>0</v>
      </c>
      <c r="L16" s="34">
        <f>IF(Horaires356734512[[#This Row],[PNP Fin]]=0,0,IF(Horaires356734512[[#This Row],[PNP Fin]]&lt;Horaires356734512[[#This Row],[début]],1,0)+Horaires356734512[[#This Row],[PNP Fin]])</f>
        <v>0</v>
      </c>
      <c r="M16" s="38">
        <f>IF(Horaires356734512[[#This Row],[Fin]]&lt;Horaires356734512[[#This Row],[début]],1,0)+Horaires356734512[[#This Row],[Fin]]</f>
        <v>0</v>
      </c>
      <c r="N16" s="35">
        <f>IF(Horaires356734512[[#This Row],[Fin]]&lt;Horaires356734512[[#This Row],[début]],MAX(0,MIN(Horaires356734512[[#This Row],[Fin corrigée si nuit]],fin_nuit)-MAX(Horaires356734512[[#This Row],[début]],deb_nuit))*24,(MAX(deb_nuit,Horaires356734512[[#This Row],[Fin]])-MAX(deb_nuit,Horaires356734512[[#This Row],[début]])+MAX(MIN(fin_nuit-1,Horaires356734512[[#This Row],[Fin]])-MIN(fin_nuit-1,Horaires356734512[[#This Row],[début]]),0))*24)</f>
        <v>0</v>
      </c>
      <c r="O16" s="39">
        <f>(MAX(0,MIN(Horaires356734512[[#This Row],[Fin corrigée si nuit]],fin_nuit)-MAX(Horaires356734512[[#This Row],[début]],deb_nuit))-IF(Horaires356734512[[#This Row],[PNP Début]]=0,0,MIN(Horaires356734512[[#This Row],[PNP Fin corrigée]],fin_nuit)-MAX(Horaires356734512[[#This Row],[PNP Début corrigé]],deb_nuit)))*24</f>
        <v>0</v>
      </c>
      <c r="P16" s="39">
        <f>(IF(WEEKDAY(Horaires356734512[[#This Row],[Date]],2)=7,MAX(0,MIN(fin_dimJF,Horaires356734512[[#This Row],[Fin corrigée si nuit]])-MAX(deb_dimJF,Horaires356734512[[#This Row],[début]])),0)+IF(WEEKDAY(Horaires356734512[[#This Row],[Date]],2)=6,MAX(0,Horaires356734512[[#This Row],[Fin corrigée si nuit]]-(1+deb_dimJF)),0))*24</f>
        <v>0</v>
      </c>
      <c r="Q16" s="35">
        <f>(IF(WEEKDAY(Horaires356734512[[#This Row],[Date]],2)=7,MAX(0,MIN(fin_dimJF,Horaires356734512[[#This Row],[Fin corrigée si nuit]])-MAX(deb_dimJF,Horaires356734512[[#This Row],[début]])),0)+IF(WEEKDAY(Horaires356734512[[#This Row],[Date]],2)=6,MAX(0,Horaires356734512[[#This Row],[Fin corrigée si nuit]]-(1+deb_dimJF)),0))*24-
(IF(WEEKDAY(Horaires356734512[[#This Row],[Date]],2)=7,MAX(0,MIN(fin_dimJF,Horaires356734512[[#This Row],[PNP Fin corrigée]])-MAX(deb_dimJF,Horaires356734512[[#This Row],[PNP Début corrigé]])),0)+IF(WEEKDAY(Horaires356734512[[#This Row],[Date]],2)=6,MAX(0,Horaires356734512[[#This Row],[PNP Fin corrigée]]-(1+deb_dimJF)),0))*24</f>
        <v>0</v>
      </c>
      <c r="R16" s="40">
        <f>(IF(COUNTIF(JF,Horaires356734512[[#This Row],[Date]]),MAX(0,MIN(fin_dimJF,Horaires356734512[[#This Row],[Fin corrigée si nuit]])-MAX(deb_dimJF,Horaires356734512[[#This Row],[début]])),0)+IF(COUNTIF(JF,Horaires356734512[[#This Row],[Date]]+1),MAX(0,Horaires356734512[[#This Row],[Fin corrigée si nuit]]-(1+deb_dimJF)),0))*24</f>
        <v>0</v>
      </c>
      <c r="S16" s="40">
        <f>(IF(COUNTIF(JF,Horaires356734512[[#This Row],[Date]]),MAX(0,MIN(fin_dimJF,Horaires356734512[[#This Row],[Fin corrigée si nuit]])-MAX(deb_dimJF,Horaires356734512[[#This Row],[début]])),0)+IF(COUNTIF(JF,Horaires356734512[[#This Row],[Date]]+1),MAX(0,Horaires356734512[[#This Row],[Fin corrigée si nuit]]-(1+deb_dimJF)),0))*24-
(IF(COUNTIF(JF,Horaires356734512[[#This Row],[Date]]),MAX(0,MIN(fin_dimJF,Horaires356734512[[#This Row],[PNP Fin corrigée]])-MAX(deb_dimJF,Horaires356734512[[#This Row],[PNP Début corrigé]])),0)+IF(COUNTIF(JF,Horaires356734512[[#This Row],[Date]]+1),MAX(0,Horaires356734512[[#This Row],[PNP Fin corrigée]]-(1+deb_dimJF)),0))*24</f>
        <v>0</v>
      </c>
    </row>
    <row r="17" spans="1:19" x14ac:dyDescent="0.35">
      <c r="A17" s="5"/>
      <c r="B17" s="1"/>
      <c r="C17" s="2"/>
      <c r="D17" s="2"/>
      <c r="E17" s="3"/>
      <c r="F17" s="3"/>
      <c r="G17" s="12"/>
      <c r="H17" s="12"/>
      <c r="I17" s="41">
        <f>0.1*(Horaires356734512[[#This Row],[Heures de nuit]]+Horaires356734512[[#This Row],[heures jour dimanche]]+Horaires356734512[[#This Row],[heures jour fériés]])</f>
        <v>0</v>
      </c>
      <c r="J17" s="42">
        <f>(MOD(Horaires356734512[[#This Row],[Fin]]-Horaires356734512[[#This Row],[début]],1)-MOD(Horaires356734512[[#This Row],[PNP Fin]]-Horaires356734512[[#This Row],[PNP Début]],1))*24</f>
        <v>0</v>
      </c>
      <c r="K17" s="43">
        <f>IF(Horaires356734512[[#This Row],[PNP Début]]=0,0,IF(Horaires356734512[[#This Row],[PNP Début]]&lt;Horaires356734512[[#This Row],[début]],1,0)+Horaires356734512[[#This Row],[PNP Début]])</f>
        <v>0</v>
      </c>
      <c r="L17" s="44">
        <f>IF(Horaires356734512[[#This Row],[PNP Fin]]=0,0,IF(Horaires356734512[[#This Row],[PNP Fin]]&lt;Horaires356734512[[#This Row],[début]],1,0)+Horaires356734512[[#This Row],[PNP Fin]])</f>
        <v>0</v>
      </c>
      <c r="M17" s="44">
        <f>IF(Horaires356734512[[#This Row],[Fin]]&lt;Horaires356734512[[#This Row],[début]],1,0)+Horaires356734512[[#This Row],[Fin]]</f>
        <v>0</v>
      </c>
      <c r="N17" s="35">
        <f>IF(Horaires356734512[[#This Row],[Fin]]&lt;Horaires356734512[[#This Row],[début]],MAX(0,MIN(Horaires356734512[[#This Row],[Fin corrigée si nuit]],fin_nuit)-MAX(Horaires356734512[[#This Row],[début]],deb_nuit))*24,(MAX(deb_nuit,Horaires356734512[[#This Row],[Fin]])-MAX(deb_nuit,Horaires356734512[[#This Row],[début]])+MAX(MIN(fin_nuit-1,Horaires356734512[[#This Row],[Fin]])-MIN(fin_nuit-1,Horaires356734512[[#This Row],[début]]),0))*24)</f>
        <v>0</v>
      </c>
      <c r="O17" s="45">
        <f>(MAX(0,MIN(Horaires356734512[[#This Row],[Fin corrigée si nuit]],fin_nuit)-MAX(Horaires356734512[[#This Row],[début]],deb_nuit))-IF(Horaires356734512[[#This Row],[PNP Début]]=0,0,MIN(Horaires356734512[[#This Row],[PNP Fin corrigée]],fin_nuit)-MAX(Horaires356734512[[#This Row],[PNP Début corrigé]],deb_nuit)))*24</f>
        <v>0</v>
      </c>
      <c r="P17" s="45">
        <f>(IF(WEEKDAY(Horaires356734512[[#This Row],[Date]],2)=7,MAX(0,MIN(fin_dimJF,Horaires356734512[[#This Row],[Fin corrigée si nuit]])-MAX(deb_dimJF,Horaires356734512[[#This Row],[début]])),0)+IF(WEEKDAY(Horaires356734512[[#This Row],[Date]],2)=6,MAX(0,Horaires356734512[[#This Row],[Fin corrigée si nuit]]-(1+deb_dimJF)),0))*24</f>
        <v>0</v>
      </c>
      <c r="Q17" s="45">
        <f>(IF(WEEKDAY(Horaires356734512[[#This Row],[Date]],2)=7,MAX(0,MIN(fin_dimJF,Horaires356734512[[#This Row],[Fin corrigée si nuit]])-MAX(deb_dimJF,Horaires356734512[[#This Row],[début]])),0)+IF(WEEKDAY(Horaires356734512[[#This Row],[Date]],2)=6,MAX(0,Horaires356734512[[#This Row],[Fin corrigée si nuit]]-(1+deb_dimJF)),0))*24-
(IF(WEEKDAY(Horaires356734512[[#This Row],[Date]],2)=7,MAX(0,MIN(fin_dimJF,Horaires356734512[[#This Row],[PNP Fin corrigée]])-MAX(deb_dimJF,Horaires356734512[[#This Row],[PNP Début corrigé]])),0)+IF(WEEKDAY(Horaires356734512[[#This Row],[Date]],2)=6,MAX(0,Horaires356734512[[#This Row],[PNP Fin corrigée]]-(1+deb_dimJF)),0))*24</f>
        <v>0</v>
      </c>
      <c r="R17" s="45">
        <f>(IF(COUNTIF(JF,Horaires356734512[[#This Row],[Date]]),MAX(0,MIN(fin_dimJF,Horaires356734512[[#This Row],[Fin corrigée si nuit]])-MAX(deb_dimJF,Horaires356734512[[#This Row],[début]])),0)+IF(COUNTIF(JF,Horaires356734512[[#This Row],[Date]]+1),MAX(0,Horaires356734512[[#This Row],[Fin corrigée si nuit]]-(1+deb_dimJF)),0))*24</f>
        <v>0</v>
      </c>
      <c r="S17" s="45">
        <f>(IF(COUNTIF(JF,Horaires356734512[[#This Row],[Date]]),MAX(0,MIN(fin_dimJF,Horaires356734512[[#This Row],[Fin corrigée si nuit]])-MAX(deb_dimJF,Horaires356734512[[#This Row],[début]])),0)+IF(COUNTIF(JF,Horaires356734512[[#This Row],[Date]]+1),MAX(0,Horaires356734512[[#This Row],[Fin corrigée si nuit]]-(1+deb_dimJF)),0))*24-
(IF(COUNTIF(JF,Horaires356734512[[#This Row],[Date]]),MAX(0,MIN(fin_dimJF,Horaires356734512[[#This Row],[PNP Fin corrigée]])-MAX(deb_dimJF,Horaires356734512[[#This Row],[PNP Début corrigé]])),0)+IF(COUNTIF(JF,Horaires356734512[[#This Row],[Date]]+1),MAX(0,Horaires356734512[[#This Row],[PNP Fin corrigée]]-(1+deb_dimJF)),0))*24</f>
        <v>0</v>
      </c>
    </row>
    <row r="18" spans="1:19" x14ac:dyDescent="0.35">
      <c r="A18" s="5"/>
      <c r="B18" s="60"/>
      <c r="C18" s="11"/>
      <c r="D18" s="11"/>
      <c r="E18" s="12"/>
      <c r="F18" s="12"/>
      <c r="G18" s="12"/>
      <c r="H18" s="12"/>
      <c r="I18" s="41">
        <f>0.1*(Horaires356734512[[#This Row],[Heures de nuit]]+Horaires356734512[[#This Row],[heures jour dimanche]]+Horaires356734512[[#This Row],[heures jour fériés]])</f>
        <v>0</v>
      </c>
      <c r="J18" s="42">
        <f>(MOD(Horaires356734512[[#This Row],[Fin]]-Horaires356734512[[#This Row],[début]],1)-MOD(Horaires356734512[[#This Row],[PNP Fin]]-Horaires356734512[[#This Row],[PNP Début]],1))*24</f>
        <v>0</v>
      </c>
      <c r="K18" s="43">
        <f>IF(Horaires356734512[[#This Row],[PNP Début]]=0,0,IF(Horaires356734512[[#This Row],[PNP Début]]&lt;Horaires356734512[[#This Row],[début]],1,0)+Horaires356734512[[#This Row],[PNP Début]])</f>
        <v>0</v>
      </c>
      <c r="L18" s="44">
        <f>IF(Horaires356734512[[#This Row],[PNP Fin]]=0,0,IF(Horaires356734512[[#This Row],[PNP Fin]]&lt;Horaires356734512[[#This Row],[début]],1,0)+Horaires356734512[[#This Row],[PNP Fin]])</f>
        <v>0</v>
      </c>
      <c r="M18" s="44">
        <f>IF(Horaires356734512[[#This Row],[Fin]]&lt;Horaires356734512[[#This Row],[début]],1,0)+Horaires356734512[[#This Row],[Fin]]</f>
        <v>0</v>
      </c>
      <c r="N18" s="35">
        <f>IF(Horaires356734512[[#This Row],[Fin]]&lt;Horaires356734512[[#This Row],[début]],MAX(0,MIN(Horaires356734512[[#This Row],[Fin corrigée si nuit]],fin_nuit)-MAX(Horaires356734512[[#This Row],[début]],deb_nuit))*24,(MAX(deb_nuit,Horaires356734512[[#This Row],[Fin]])-MAX(deb_nuit,Horaires356734512[[#This Row],[début]])+MAX(MIN(fin_nuit-1,Horaires356734512[[#This Row],[Fin]])-MIN(fin_nuit-1,Horaires356734512[[#This Row],[début]]),0))*24)</f>
        <v>0</v>
      </c>
      <c r="O18" s="45">
        <f>(MAX(0,MIN(Horaires356734512[[#This Row],[Fin corrigée si nuit]],fin_nuit)-MAX(Horaires356734512[[#This Row],[début]],deb_nuit))-IF(Horaires356734512[[#This Row],[PNP Début]]=0,0,MIN(Horaires356734512[[#This Row],[PNP Fin corrigée]],fin_nuit)-MAX(Horaires356734512[[#This Row],[PNP Début corrigé]],deb_nuit)))*24</f>
        <v>0</v>
      </c>
      <c r="P18" s="45">
        <f>(IF(WEEKDAY(Horaires356734512[[#This Row],[Date]],2)=7,MAX(0,MIN(fin_dimJF,Horaires356734512[[#This Row],[Fin corrigée si nuit]])-MAX(deb_dimJF,Horaires356734512[[#This Row],[début]])),0)+IF(WEEKDAY(Horaires356734512[[#This Row],[Date]],2)=6,MAX(0,Horaires356734512[[#This Row],[Fin corrigée si nuit]]-(1+deb_dimJF)),0))*24</f>
        <v>0</v>
      </c>
      <c r="Q18" s="45">
        <f>(IF(WEEKDAY(Horaires356734512[[#This Row],[Date]],2)=7,MAX(0,MIN(fin_dimJF,Horaires356734512[[#This Row],[Fin corrigée si nuit]])-MAX(deb_dimJF,Horaires356734512[[#This Row],[début]])),0)+IF(WEEKDAY(Horaires356734512[[#This Row],[Date]],2)=6,MAX(0,Horaires356734512[[#This Row],[Fin corrigée si nuit]]-(1+deb_dimJF)),0))*24-
(IF(WEEKDAY(Horaires356734512[[#This Row],[Date]],2)=7,MAX(0,MIN(fin_dimJF,Horaires356734512[[#This Row],[PNP Fin corrigée]])-MAX(deb_dimJF,Horaires356734512[[#This Row],[PNP Début corrigé]])),0)+IF(WEEKDAY(Horaires356734512[[#This Row],[Date]],2)=6,MAX(0,Horaires356734512[[#This Row],[PNP Fin corrigée]]-(1+deb_dimJF)),0))*24</f>
        <v>0</v>
      </c>
      <c r="R18" s="45">
        <f>(IF(COUNTIF(JF,Horaires356734512[[#This Row],[Date]]),MAX(0,MIN(fin_dimJF,Horaires356734512[[#This Row],[Fin corrigée si nuit]])-MAX(deb_dimJF,Horaires356734512[[#This Row],[début]])),0)+IF(COUNTIF(JF,Horaires356734512[[#This Row],[Date]]+1),MAX(0,Horaires356734512[[#This Row],[Fin corrigée si nuit]]-(1+deb_dimJF)),0))*24</f>
        <v>0</v>
      </c>
      <c r="S18" s="45">
        <f>(IF(COUNTIF(JF,Horaires356734512[[#This Row],[Date]]),MAX(0,MIN(fin_dimJF,Horaires356734512[[#This Row],[Fin corrigée si nuit]])-MAX(deb_dimJF,Horaires356734512[[#This Row],[début]])),0)+IF(COUNTIF(JF,Horaires356734512[[#This Row],[Date]]+1),MAX(0,Horaires356734512[[#This Row],[Fin corrigée si nuit]]-(1+deb_dimJF)),0))*24-
(IF(COUNTIF(JF,Horaires356734512[[#This Row],[Date]]),MAX(0,MIN(fin_dimJF,Horaires356734512[[#This Row],[PNP Fin corrigée]])-MAX(deb_dimJF,Horaires356734512[[#This Row],[PNP Début corrigé]])),0)+IF(COUNTIF(JF,Horaires356734512[[#This Row],[Date]]+1),MAX(0,Horaires356734512[[#This Row],[PNP Fin corrigée]]-(1+deb_dimJF)),0))*24</f>
        <v>0</v>
      </c>
    </row>
    <row r="19" spans="1:19" x14ac:dyDescent="0.35">
      <c r="A19" s="5"/>
      <c r="B19" s="1"/>
      <c r="C19" s="11"/>
      <c r="D19" s="11"/>
      <c r="E19" s="3"/>
      <c r="F19" s="3"/>
      <c r="G19" s="12"/>
      <c r="H19" s="12"/>
      <c r="I19" s="41">
        <f>0.1*(Horaires356734512[[#This Row],[Heures de nuit]]+Horaires356734512[[#This Row],[heures jour dimanche]]+Horaires356734512[[#This Row],[heures jour fériés]])</f>
        <v>0</v>
      </c>
      <c r="J19" s="42">
        <f>(MOD(Horaires356734512[[#This Row],[Fin]]-Horaires356734512[[#This Row],[début]],1)-MOD(Horaires356734512[[#This Row],[PNP Fin]]-Horaires356734512[[#This Row],[PNP Début]],1))*24</f>
        <v>0</v>
      </c>
      <c r="K19" s="43">
        <f>IF(Horaires356734512[[#This Row],[PNP Début]]=0,0,IF(Horaires356734512[[#This Row],[PNP Début]]&lt;Horaires356734512[[#This Row],[début]],1,0)+Horaires356734512[[#This Row],[PNP Début]])</f>
        <v>0</v>
      </c>
      <c r="L19" s="44">
        <f>IF(Horaires356734512[[#This Row],[PNP Fin]]=0,0,IF(Horaires356734512[[#This Row],[PNP Fin]]&lt;Horaires356734512[[#This Row],[début]],1,0)+Horaires356734512[[#This Row],[PNP Fin]])</f>
        <v>0</v>
      </c>
      <c r="M19" s="44">
        <f>IF(Horaires356734512[[#This Row],[Fin]]&lt;Horaires356734512[[#This Row],[début]],1,0)+Horaires356734512[[#This Row],[Fin]]</f>
        <v>0</v>
      </c>
      <c r="N19" s="35">
        <f>IF(Horaires356734512[[#This Row],[Fin]]&lt;Horaires356734512[[#This Row],[début]],MAX(0,MIN(Horaires356734512[[#This Row],[Fin corrigée si nuit]],fin_nuit)-MAX(Horaires356734512[[#This Row],[début]],deb_nuit))*24,(MAX(deb_nuit,Horaires356734512[[#This Row],[Fin]])-MAX(deb_nuit,Horaires356734512[[#This Row],[début]])+MAX(MIN(fin_nuit-1,Horaires356734512[[#This Row],[Fin]])-MIN(fin_nuit-1,Horaires356734512[[#This Row],[début]]),0))*24)</f>
        <v>0</v>
      </c>
      <c r="O19" s="45">
        <f>(MAX(0,MIN(Horaires356734512[[#This Row],[Fin corrigée si nuit]],fin_nuit)-MAX(Horaires356734512[[#This Row],[début]],deb_nuit))-IF(Horaires356734512[[#This Row],[PNP Début]]=0,0,MIN(Horaires356734512[[#This Row],[PNP Fin corrigée]],fin_nuit)-MAX(Horaires356734512[[#This Row],[PNP Début corrigé]],deb_nuit)))*24</f>
        <v>0</v>
      </c>
      <c r="P19" s="45">
        <f>(IF(WEEKDAY(Horaires356734512[[#This Row],[Date]],2)=7,MAX(0,MIN(fin_dimJF,Horaires356734512[[#This Row],[Fin corrigée si nuit]])-MAX(deb_dimJF,Horaires356734512[[#This Row],[début]])),0)+IF(WEEKDAY(Horaires356734512[[#This Row],[Date]],2)=6,MAX(0,Horaires356734512[[#This Row],[Fin corrigée si nuit]]-(1+deb_dimJF)),0))*24</f>
        <v>0</v>
      </c>
      <c r="Q19" s="45">
        <f>(IF(WEEKDAY(Horaires356734512[[#This Row],[Date]],2)=7,MAX(0,MIN(fin_dimJF,Horaires356734512[[#This Row],[Fin corrigée si nuit]])-MAX(deb_dimJF,Horaires356734512[[#This Row],[début]])),0)+IF(WEEKDAY(Horaires356734512[[#This Row],[Date]],2)=6,MAX(0,Horaires356734512[[#This Row],[Fin corrigée si nuit]]-(1+deb_dimJF)),0))*24-
(IF(WEEKDAY(Horaires356734512[[#This Row],[Date]],2)=7,MAX(0,MIN(fin_dimJF,Horaires356734512[[#This Row],[PNP Fin corrigée]])-MAX(deb_dimJF,Horaires356734512[[#This Row],[PNP Début corrigé]])),0)+IF(WEEKDAY(Horaires356734512[[#This Row],[Date]],2)=6,MAX(0,Horaires356734512[[#This Row],[PNP Fin corrigée]]-(1+deb_dimJF)),0))*24</f>
        <v>0</v>
      </c>
      <c r="R19" s="45">
        <f>(IF(COUNTIF(JF,Horaires356734512[[#This Row],[Date]]),MAX(0,MIN(fin_dimJF,Horaires356734512[[#This Row],[Fin corrigée si nuit]])-MAX(deb_dimJF,Horaires356734512[[#This Row],[début]])),0)+IF(COUNTIF(JF,Horaires356734512[[#This Row],[Date]]+1),MAX(0,Horaires356734512[[#This Row],[Fin corrigée si nuit]]-(1+deb_dimJF)),0))*24</f>
        <v>0</v>
      </c>
      <c r="S19" s="45">
        <f>(IF(COUNTIF(JF,Horaires356734512[[#This Row],[Date]]),MAX(0,MIN(fin_dimJF,Horaires356734512[[#This Row],[Fin corrigée si nuit]])-MAX(deb_dimJF,Horaires356734512[[#This Row],[début]])),0)+IF(COUNTIF(JF,Horaires356734512[[#This Row],[Date]]+1),MAX(0,Horaires356734512[[#This Row],[Fin corrigée si nuit]]-(1+deb_dimJF)),0))*24-
(IF(COUNTIF(JF,Horaires356734512[[#This Row],[Date]]),MAX(0,MIN(fin_dimJF,Horaires356734512[[#This Row],[PNP Fin corrigée]])-MAX(deb_dimJF,Horaires356734512[[#This Row],[PNP Début corrigé]])),0)+IF(COUNTIF(JF,Horaires356734512[[#This Row],[Date]]+1),MAX(0,Horaires356734512[[#This Row],[PNP Fin corrigée]]-(1+deb_dimJF)),0))*24</f>
        <v>0</v>
      </c>
    </row>
    <row r="20" spans="1:19" x14ac:dyDescent="0.35">
      <c r="A20" s="5"/>
      <c r="B20" s="1"/>
      <c r="C20" s="11"/>
      <c r="D20" s="11"/>
      <c r="E20" s="12"/>
      <c r="F20" s="12"/>
      <c r="G20" s="12"/>
      <c r="H20" s="12"/>
      <c r="I20" s="41">
        <f>0.1*(Horaires356734512[[#This Row],[Heures de nuit]]+Horaires356734512[[#This Row],[heures jour dimanche]]+Horaires356734512[[#This Row],[heures jour fériés]])</f>
        <v>0</v>
      </c>
      <c r="J20" s="42">
        <f>(MOD(Horaires356734512[[#This Row],[Fin]]-Horaires356734512[[#This Row],[début]],1)-MOD(Horaires356734512[[#This Row],[PNP Fin]]-Horaires356734512[[#This Row],[PNP Début]],1))*24</f>
        <v>0</v>
      </c>
      <c r="K20" s="43">
        <f>IF(Horaires356734512[[#This Row],[PNP Début]]=0,0,IF(Horaires356734512[[#This Row],[PNP Début]]&lt;Horaires356734512[[#This Row],[début]],1,0)+Horaires356734512[[#This Row],[PNP Début]])</f>
        <v>0</v>
      </c>
      <c r="L20" s="44">
        <f>IF(Horaires356734512[[#This Row],[PNP Fin]]=0,0,IF(Horaires356734512[[#This Row],[PNP Fin]]&lt;Horaires356734512[[#This Row],[début]],1,0)+Horaires356734512[[#This Row],[PNP Fin]])</f>
        <v>0</v>
      </c>
      <c r="M20" s="44">
        <f>IF(Horaires356734512[[#This Row],[Fin]]&lt;Horaires356734512[[#This Row],[début]],1,0)+Horaires356734512[[#This Row],[Fin]]</f>
        <v>0</v>
      </c>
      <c r="N20" s="35">
        <f>IF(Horaires356734512[[#This Row],[Fin]]&lt;Horaires356734512[[#This Row],[début]],MAX(0,MIN(Horaires356734512[[#This Row],[Fin corrigée si nuit]],fin_nuit)-MAX(Horaires356734512[[#This Row],[début]],deb_nuit))*24,(MAX(deb_nuit,Horaires356734512[[#This Row],[Fin]])-MAX(deb_nuit,Horaires356734512[[#This Row],[début]])+MAX(MIN(fin_nuit-1,Horaires356734512[[#This Row],[Fin]])-MIN(fin_nuit-1,Horaires356734512[[#This Row],[début]]),0))*24)</f>
        <v>0</v>
      </c>
      <c r="O20" s="45">
        <f>(MAX(0,MIN(Horaires356734512[[#This Row],[Fin corrigée si nuit]],fin_nuit)-MAX(Horaires356734512[[#This Row],[début]],deb_nuit))-IF(Horaires356734512[[#This Row],[PNP Début]]=0,0,MIN(Horaires356734512[[#This Row],[PNP Fin corrigée]],fin_nuit)-MAX(Horaires356734512[[#This Row],[PNP Début corrigé]],deb_nuit)))*24</f>
        <v>0</v>
      </c>
      <c r="P20" s="45">
        <f>(IF(WEEKDAY(Horaires356734512[[#This Row],[Date]],2)=7,MAX(0,MIN(fin_dimJF,Horaires356734512[[#This Row],[Fin corrigée si nuit]])-MAX(deb_dimJF,Horaires356734512[[#This Row],[début]])),0)+IF(WEEKDAY(Horaires356734512[[#This Row],[Date]],2)=6,MAX(0,Horaires356734512[[#This Row],[Fin corrigée si nuit]]-(1+deb_dimJF)),0))*24</f>
        <v>0</v>
      </c>
      <c r="Q20" s="45">
        <f>(IF(WEEKDAY(Horaires356734512[[#This Row],[Date]],2)=7,MAX(0,MIN(fin_dimJF,Horaires356734512[[#This Row],[Fin corrigée si nuit]])-MAX(deb_dimJF,Horaires356734512[[#This Row],[début]])),0)+IF(WEEKDAY(Horaires356734512[[#This Row],[Date]],2)=6,MAX(0,Horaires356734512[[#This Row],[Fin corrigée si nuit]]-(1+deb_dimJF)),0))*24-
(IF(WEEKDAY(Horaires356734512[[#This Row],[Date]],2)=7,MAX(0,MIN(fin_dimJF,Horaires356734512[[#This Row],[PNP Fin corrigée]])-MAX(deb_dimJF,Horaires356734512[[#This Row],[PNP Début corrigé]])),0)+IF(WEEKDAY(Horaires356734512[[#This Row],[Date]],2)=6,MAX(0,Horaires356734512[[#This Row],[PNP Fin corrigée]]-(1+deb_dimJF)),0))*24</f>
        <v>0</v>
      </c>
      <c r="R20" s="45">
        <f>(IF(COUNTIF(JF,Horaires356734512[[#This Row],[Date]]),MAX(0,MIN(fin_dimJF,Horaires356734512[[#This Row],[Fin corrigée si nuit]])-MAX(deb_dimJF,Horaires356734512[[#This Row],[début]])),0)+IF(COUNTIF(JF,Horaires356734512[[#This Row],[Date]]+1),MAX(0,Horaires356734512[[#This Row],[Fin corrigée si nuit]]-(1+deb_dimJF)),0))*24</f>
        <v>0</v>
      </c>
      <c r="S20" s="45">
        <f>(IF(COUNTIF(JF,Horaires356734512[[#This Row],[Date]]),MAX(0,MIN(fin_dimJF,Horaires356734512[[#This Row],[Fin corrigée si nuit]])-MAX(deb_dimJF,Horaires356734512[[#This Row],[début]])),0)+IF(COUNTIF(JF,Horaires356734512[[#This Row],[Date]]+1),MAX(0,Horaires356734512[[#This Row],[Fin corrigée si nuit]]-(1+deb_dimJF)),0))*24-
(IF(COUNTIF(JF,Horaires356734512[[#This Row],[Date]]),MAX(0,MIN(fin_dimJF,Horaires356734512[[#This Row],[PNP Fin corrigée]])-MAX(deb_dimJF,Horaires356734512[[#This Row],[PNP Début corrigé]])),0)+IF(COUNTIF(JF,Horaires356734512[[#This Row],[Date]]+1),MAX(0,Horaires356734512[[#This Row],[PNP Fin corrigée]]-(1+deb_dimJF)),0))*24</f>
        <v>0</v>
      </c>
    </row>
    <row r="21" spans="1:19" x14ac:dyDescent="0.35">
      <c r="A21" s="5"/>
      <c r="B21" s="6"/>
      <c r="C21" s="13"/>
      <c r="D21" s="13"/>
      <c r="E21" s="3"/>
      <c r="F21" s="3"/>
      <c r="G21" s="14"/>
      <c r="H21" s="14"/>
      <c r="I21" s="46">
        <f>0.1*(Horaires356734512[[#This Row],[Heures de nuit]]+Horaires356734512[[#This Row],[heures jour dimanche]]+Horaires356734512[[#This Row],[heures jour fériés]])</f>
        <v>0</v>
      </c>
      <c r="J21" s="47">
        <f>(MOD(Horaires356734512[[#This Row],[Fin]]-Horaires356734512[[#This Row],[début]],1)-MOD(Horaires356734512[[#This Row],[PNP Fin]]-Horaires356734512[[#This Row],[PNP Début]],1))*24</f>
        <v>0</v>
      </c>
      <c r="K21" s="48">
        <f>IF(Horaires356734512[[#This Row],[PNP Début]]=0,0,IF(Horaires356734512[[#This Row],[PNP Début]]&lt;Horaires356734512[[#This Row],[début]],1,0)+Horaires356734512[[#This Row],[PNP Début]])</f>
        <v>0</v>
      </c>
      <c r="L21" s="49">
        <f>IF(Horaires356734512[[#This Row],[PNP Fin]]=0,0,IF(Horaires356734512[[#This Row],[PNP Fin]]&lt;Horaires356734512[[#This Row],[début]],1,0)+Horaires356734512[[#This Row],[PNP Fin]])</f>
        <v>0</v>
      </c>
      <c r="M21" s="49">
        <f>IF(Horaires356734512[[#This Row],[Fin]]&lt;Horaires356734512[[#This Row],[début]],1,0)+Horaires356734512[[#This Row],[Fin]]</f>
        <v>0</v>
      </c>
      <c r="N21" s="35">
        <f>IF(Horaires356734512[[#This Row],[Fin]]&lt;Horaires356734512[[#This Row],[début]],MAX(0,MIN(Horaires356734512[[#This Row],[Fin corrigée si nuit]],fin_nuit)-MAX(Horaires356734512[[#This Row],[début]],deb_nuit))*24,(MAX(deb_nuit,Horaires356734512[[#This Row],[Fin]])-MAX(deb_nuit,Horaires356734512[[#This Row],[début]])+MAX(MIN(fin_nuit-1,Horaires356734512[[#This Row],[Fin]])-MIN(fin_nuit-1,Horaires356734512[[#This Row],[début]]),0))*24)</f>
        <v>0</v>
      </c>
      <c r="O21" s="50">
        <f>(MAX(0,MIN(Horaires356734512[[#This Row],[Fin corrigée si nuit]],fin_nuit)-MAX(Horaires356734512[[#This Row],[début]],deb_nuit))-IF(Horaires356734512[[#This Row],[PNP Début]]=0,0,MIN(Horaires356734512[[#This Row],[PNP Fin corrigée]],fin_nuit)-MAX(Horaires356734512[[#This Row],[PNP Début corrigé]],deb_nuit)))*24</f>
        <v>0</v>
      </c>
      <c r="P21" s="50">
        <f>(IF(WEEKDAY(Horaires356734512[[#This Row],[Date]],2)=7,MAX(0,MIN(fin_dimJF,Horaires356734512[[#This Row],[Fin corrigée si nuit]])-MAX(deb_dimJF,Horaires356734512[[#This Row],[début]])),0)+IF(WEEKDAY(Horaires356734512[[#This Row],[Date]],2)=6,MAX(0,Horaires356734512[[#This Row],[Fin corrigée si nuit]]-(1+deb_dimJF)),0))*24</f>
        <v>0</v>
      </c>
      <c r="Q21" s="50">
        <f>(IF(WEEKDAY(Horaires356734512[[#This Row],[Date]],2)=7,MAX(0,MIN(fin_dimJF,Horaires356734512[[#This Row],[Fin corrigée si nuit]])-MAX(deb_dimJF,Horaires356734512[[#This Row],[début]])),0)+IF(WEEKDAY(Horaires356734512[[#This Row],[Date]],2)=6,MAX(0,Horaires356734512[[#This Row],[Fin corrigée si nuit]]-(1+deb_dimJF)),0))*24-
(IF(WEEKDAY(Horaires356734512[[#This Row],[Date]],2)=7,MAX(0,MIN(fin_dimJF,Horaires356734512[[#This Row],[PNP Fin corrigée]])-MAX(deb_dimJF,Horaires356734512[[#This Row],[PNP Début corrigé]])),0)+IF(WEEKDAY(Horaires356734512[[#This Row],[Date]],2)=6,MAX(0,Horaires356734512[[#This Row],[PNP Fin corrigée]]-(1+deb_dimJF)),0))*24</f>
        <v>0</v>
      </c>
      <c r="R21" s="50">
        <f>(IF(COUNTIF(JF,Horaires356734512[[#This Row],[Date]]),MAX(0,MIN(fin_dimJF,Horaires356734512[[#This Row],[Fin corrigée si nuit]])-MAX(deb_dimJF,Horaires356734512[[#This Row],[début]])),0)+IF(COUNTIF(JF,Horaires356734512[[#This Row],[Date]]+1),MAX(0,Horaires356734512[[#This Row],[Fin corrigée si nuit]]-(1+deb_dimJF)),0))*24</f>
        <v>0</v>
      </c>
      <c r="S21" s="50">
        <f>(IF(COUNTIF(JF,Horaires356734512[[#This Row],[Date]]),MAX(0,MIN(fin_dimJF,Horaires356734512[[#This Row],[Fin corrigée si nuit]])-MAX(deb_dimJF,Horaires356734512[[#This Row],[début]])),0)+IF(COUNTIF(JF,Horaires356734512[[#This Row],[Date]]+1),MAX(0,Horaires356734512[[#This Row],[Fin corrigée si nuit]]-(1+deb_dimJF)),0))*24-
(IF(COUNTIF(JF,Horaires356734512[[#This Row],[Date]]),MAX(0,MIN(fin_dimJF,Horaires356734512[[#This Row],[PNP Fin corrigée]])-MAX(deb_dimJF,Horaires356734512[[#This Row],[PNP Début corrigé]])),0)+IF(COUNTIF(JF,Horaires356734512[[#This Row],[Date]]+1),MAX(0,Horaires356734512[[#This Row],[PNP Fin corrigée]]-(1+deb_dimJF)),0))*24</f>
        <v>0</v>
      </c>
    </row>
    <row r="22" spans="1:19" x14ac:dyDescent="0.35">
      <c r="A22" s="5"/>
      <c r="B22" s="1"/>
      <c r="C22" s="13"/>
      <c r="D22" s="13"/>
      <c r="E22" s="3"/>
      <c r="F22" s="3"/>
      <c r="G22" s="3"/>
      <c r="H22" s="3"/>
      <c r="I22" s="51">
        <f>0.1*(Horaires356734512[[#This Row],[Heures de nuit]]+Horaires356734512[[#This Row],[heures jour dimanche]]+Horaires356734512[[#This Row],[heures jour fériés]])</f>
        <v>0</v>
      </c>
      <c r="J22" s="52">
        <f>(MOD(Horaires356734512[[#This Row],[Fin]]-Horaires356734512[[#This Row],[début]],1)-MOD(Horaires356734512[[#This Row],[PNP Fin]]-Horaires356734512[[#This Row],[PNP Début]],1))*24</f>
        <v>0</v>
      </c>
      <c r="K22" s="53">
        <f>IF(Horaires356734512[[#This Row],[PNP Début]]=0,0,IF(Horaires356734512[[#This Row],[PNP Début]]&lt;Horaires356734512[[#This Row],[début]],1,0)+Horaires356734512[[#This Row],[PNP Début]])</f>
        <v>0</v>
      </c>
      <c r="L22" s="54">
        <f>IF(Horaires356734512[[#This Row],[PNP Fin]]=0,0,IF(Horaires356734512[[#This Row],[PNP Fin]]&lt;Horaires356734512[[#This Row],[début]],1,0)+Horaires356734512[[#This Row],[PNP Fin]])</f>
        <v>0</v>
      </c>
      <c r="M22" s="54">
        <f>IF(Horaires356734512[[#This Row],[Fin]]&lt;Horaires356734512[[#This Row],[début]],1,0)+Horaires356734512[[#This Row],[Fin]]</f>
        <v>0</v>
      </c>
      <c r="N22" s="35">
        <f>IF(Horaires356734512[[#This Row],[Fin]]&lt;Horaires356734512[[#This Row],[début]],MAX(0,MIN(Horaires356734512[[#This Row],[Fin corrigée si nuit]],fin_nuit)-MAX(Horaires356734512[[#This Row],[début]],deb_nuit))*24,(MAX(deb_nuit,Horaires356734512[[#This Row],[Fin]])-MAX(deb_nuit,Horaires356734512[[#This Row],[début]])+MAX(MIN(fin_nuit-1,Horaires356734512[[#This Row],[Fin]])-MIN(fin_nuit-1,Horaires356734512[[#This Row],[début]]),0))*24)</f>
        <v>0</v>
      </c>
      <c r="O22" s="55">
        <f>(MAX(0,MIN(Horaires356734512[[#This Row],[Fin corrigée si nuit]],fin_nuit)-MAX(Horaires356734512[[#This Row],[début]],deb_nuit))-IF(Horaires356734512[[#This Row],[PNP Début]]=0,0,MIN(Horaires356734512[[#This Row],[PNP Fin corrigée]],fin_nuit)-MAX(Horaires356734512[[#This Row],[PNP Début corrigé]],deb_nuit)))*24</f>
        <v>0</v>
      </c>
      <c r="P22" s="55">
        <f>(IF(WEEKDAY(Horaires356734512[[#This Row],[Date]],2)=7,MAX(0,MIN(fin_dimJF,Horaires356734512[[#This Row],[Fin corrigée si nuit]])-MAX(deb_dimJF,Horaires356734512[[#This Row],[début]])),0)+IF(WEEKDAY(Horaires356734512[[#This Row],[Date]],2)=6,MAX(0,Horaires356734512[[#This Row],[Fin corrigée si nuit]]-(1+deb_dimJF)),0))*24</f>
        <v>0</v>
      </c>
      <c r="Q22" s="55">
        <f>(IF(WEEKDAY(Horaires356734512[[#This Row],[Date]],2)=7,MAX(0,MIN(fin_dimJF,Horaires356734512[[#This Row],[Fin corrigée si nuit]])-MAX(deb_dimJF,Horaires356734512[[#This Row],[début]])),0)+IF(WEEKDAY(Horaires356734512[[#This Row],[Date]],2)=6,MAX(0,Horaires356734512[[#This Row],[Fin corrigée si nuit]]-(1+deb_dimJF)),0))*24-
(IF(WEEKDAY(Horaires356734512[[#This Row],[Date]],2)=7,MAX(0,MIN(fin_dimJF,Horaires356734512[[#This Row],[PNP Fin corrigée]])-MAX(deb_dimJF,Horaires356734512[[#This Row],[PNP Début corrigé]])),0)+IF(WEEKDAY(Horaires356734512[[#This Row],[Date]],2)=6,MAX(0,Horaires356734512[[#This Row],[PNP Fin corrigée]]-(1+deb_dimJF)),0))*24</f>
        <v>0</v>
      </c>
      <c r="R22" s="55">
        <f>(IF(COUNTIF(JF,Horaires356734512[[#This Row],[Date]]),MAX(0,MIN(fin_dimJF,Horaires356734512[[#This Row],[Fin corrigée si nuit]])-MAX(deb_dimJF,Horaires356734512[[#This Row],[début]])),0)+IF(COUNTIF(JF,Horaires356734512[[#This Row],[Date]]+1),MAX(0,Horaires356734512[[#This Row],[Fin corrigée si nuit]]-(1+deb_dimJF)),0))*24</f>
        <v>0</v>
      </c>
      <c r="S22" s="55">
        <f>(IF(COUNTIF(JF,Horaires356734512[[#This Row],[Date]]),MAX(0,MIN(fin_dimJF,Horaires356734512[[#This Row],[Fin corrigée si nuit]])-MAX(deb_dimJF,Horaires356734512[[#This Row],[début]])),0)+IF(COUNTIF(JF,Horaires356734512[[#This Row],[Date]]+1),MAX(0,Horaires356734512[[#This Row],[Fin corrigée si nuit]]-(1+deb_dimJF)),0))*24-
(IF(COUNTIF(JF,Horaires356734512[[#This Row],[Date]]),MAX(0,MIN(fin_dimJF,Horaires356734512[[#This Row],[PNP Fin corrigée]])-MAX(deb_dimJF,Horaires356734512[[#This Row],[PNP Début corrigé]])),0)+IF(COUNTIF(JF,Horaires356734512[[#This Row],[Date]]+1),MAX(0,Horaires356734512[[#This Row],[PNP Fin corrigée]]-(1+deb_dimJF)),0))*24</f>
        <v>0</v>
      </c>
    </row>
    <row r="23" spans="1:19" x14ac:dyDescent="0.35">
      <c r="A23" s="5"/>
      <c r="B23" s="1"/>
      <c r="C23" s="13"/>
      <c r="D23" s="13"/>
      <c r="E23" s="3"/>
      <c r="F23" s="3"/>
      <c r="G23" s="3"/>
      <c r="H23" s="3"/>
      <c r="I23" s="51">
        <f>0.1*(Horaires356734512[[#This Row],[Heures de nuit]]+Horaires356734512[[#This Row],[heures jour dimanche]]+Horaires356734512[[#This Row],[heures jour fériés]])</f>
        <v>0</v>
      </c>
      <c r="J23" s="52">
        <f>(MOD(Horaires356734512[[#This Row],[Fin]]-Horaires356734512[[#This Row],[début]],1)-MOD(Horaires356734512[[#This Row],[PNP Fin]]-Horaires356734512[[#This Row],[PNP Début]],1))*24</f>
        <v>0</v>
      </c>
      <c r="K23" s="53">
        <f>IF(Horaires356734512[[#This Row],[PNP Début]]=0,0,IF(Horaires356734512[[#This Row],[PNP Début]]&lt;Horaires356734512[[#This Row],[début]],1,0)+Horaires356734512[[#This Row],[PNP Début]])</f>
        <v>0</v>
      </c>
      <c r="L23" s="54">
        <f>IF(Horaires356734512[[#This Row],[PNP Fin]]=0,0,IF(Horaires356734512[[#This Row],[PNP Fin]]&lt;Horaires356734512[[#This Row],[début]],1,0)+Horaires356734512[[#This Row],[PNP Fin]])</f>
        <v>0</v>
      </c>
      <c r="M23" s="54">
        <f>IF(Horaires356734512[[#This Row],[Fin]]&lt;Horaires356734512[[#This Row],[début]],1,0)+Horaires356734512[[#This Row],[Fin]]</f>
        <v>0</v>
      </c>
      <c r="N23" s="35">
        <f>IF(Horaires356734512[[#This Row],[Fin]]&lt;Horaires356734512[[#This Row],[début]],MAX(0,MIN(Horaires356734512[[#This Row],[Fin corrigée si nuit]],fin_nuit)-MAX(Horaires356734512[[#This Row],[début]],deb_nuit))*24,(MAX(deb_nuit,Horaires356734512[[#This Row],[Fin]])-MAX(deb_nuit,Horaires356734512[[#This Row],[début]])+MAX(MIN(fin_nuit-1,Horaires356734512[[#This Row],[Fin]])-MIN(fin_nuit-1,Horaires356734512[[#This Row],[début]]),0))*24)</f>
        <v>0</v>
      </c>
      <c r="O23" s="55">
        <f>(MAX(0,MIN(Horaires356734512[[#This Row],[Fin corrigée si nuit]],fin_nuit)-MAX(Horaires356734512[[#This Row],[début]],deb_nuit))-IF(Horaires356734512[[#This Row],[PNP Début]]=0,0,MIN(Horaires356734512[[#This Row],[PNP Fin corrigée]],fin_nuit)-MAX(Horaires356734512[[#This Row],[PNP Début corrigé]],deb_nuit)))*24</f>
        <v>0</v>
      </c>
      <c r="P23" s="55">
        <f>(IF(WEEKDAY(Horaires356734512[[#This Row],[Date]],2)=7,MAX(0,MIN(fin_dimJF,Horaires356734512[[#This Row],[Fin corrigée si nuit]])-MAX(deb_dimJF,Horaires356734512[[#This Row],[début]])),0)+IF(WEEKDAY(Horaires356734512[[#This Row],[Date]],2)=6,MAX(0,Horaires356734512[[#This Row],[Fin corrigée si nuit]]-(1+deb_dimJF)),0))*24</f>
        <v>0</v>
      </c>
      <c r="Q23" s="55">
        <f>(IF(WEEKDAY(Horaires356734512[[#This Row],[Date]],2)=7,MAX(0,MIN(fin_dimJF,Horaires356734512[[#This Row],[Fin corrigée si nuit]])-MAX(deb_dimJF,Horaires356734512[[#This Row],[début]])),0)+IF(WEEKDAY(Horaires356734512[[#This Row],[Date]],2)=6,MAX(0,Horaires356734512[[#This Row],[Fin corrigée si nuit]]-(1+deb_dimJF)),0))*24-
(IF(WEEKDAY(Horaires356734512[[#This Row],[Date]],2)=7,MAX(0,MIN(fin_dimJF,Horaires356734512[[#This Row],[PNP Fin corrigée]])-MAX(deb_dimJF,Horaires356734512[[#This Row],[PNP Début corrigé]])),0)+IF(WEEKDAY(Horaires356734512[[#This Row],[Date]],2)=6,MAX(0,Horaires356734512[[#This Row],[PNP Fin corrigée]]-(1+deb_dimJF)),0))*24</f>
        <v>0</v>
      </c>
      <c r="R23" s="55">
        <f>(IF(COUNTIF(JF,Horaires356734512[[#This Row],[Date]]),MAX(0,MIN(fin_dimJF,Horaires356734512[[#This Row],[Fin corrigée si nuit]])-MAX(deb_dimJF,Horaires356734512[[#This Row],[début]])),0)+IF(COUNTIF(JF,Horaires356734512[[#This Row],[Date]]+1),MAX(0,Horaires356734512[[#This Row],[Fin corrigée si nuit]]-(1+deb_dimJF)),0))*24</f>
        <v>0</v>
      </c>
      <c r="S23" s="55">
        <f>(IF(COUNTIF(JF,Horaires356734512[[#This Row],[Date]]),MAX(0,MIN(fin_dimJF,Horaires356734512[[#This Row],[Fin corrigée si nuit]])-MAX(deb_dimJF,Horaires356734512[[#This Row],[début]])),0)+IF(COUNTIF(JF,Horaires356734512[[#This Row],[Date]]+1),MAX(0,Horaires356734512[[#This Row],[Fin corrigée si nuit]]-(1+deb_dimJF)),0))*24-
(IF(COUNTIF(JF,Horaires356734512[[#This Row],[Date]]),MAX(0,MIN(fin_dimJF,Horaires356734512[[#This Row],[PNP Fin corrigée]])-MAX(deb_dimJF,Horaires356734512[[#This Row],[PNP Début corrigé]])),0)+IF(COUNTIF(JF,Horaires356734512[[#This Row],[Date]]+1),MAX(0,Horaires356734512[[#This Row],[PNP Fin corrigée]]-(1+deb_dimJF)),0))*24</f>
        <v>0</v>
      </c>
    </row>
    <row r="24" spans="1:19" x14ac:dyDescent="0.35">
      <c r="A24" s="5"/>
      <c r="B24" s="1"/>
      <c r="C24" s="2"/>
      <c r="D24" s="2"/>
      <c r="E24" s="3"/>
      <c r="F24" s="3"/>
      <c r="G24" s="3"/>
      <c r="H24" s="3"/>
      <c r="I24" s="51">
        <f>0.1*(Horaires356734512[[#This Row],[Heures de nuit]]+Horaires356734512[[#This Row],[heures jour dimanche]]+Horaires356734512[[#This Row],[heures jour fériés]])</f>
        <v>0</v>
      </c>
      <c r="J24" s="52">
        <f>(MOD(Horaires356734512[[#This Row],[Fin]]-Horaires356734512[[#This Row],[début]],1)-MOD(Horaires356734512[[#This Row],[PNP Fin]]-Horaires356734512[[#This Row],[PNP Début]],1))*24</f>
        <v>0</v>
      </c>
      <c r="K24" s="53">
        <f>IF(Horaires356734512[[#This Row],[PNP Début]]=0,0,IF(Horaires356734512[[#This Row],[PNP Début]]&lt;Horaires356734512[[#This Row],[début]],1,0)+Horaires356734512[[#This Row],[PNP Début]])</f>
        <v>0</v>
      </c>
      <c r="L24" s="54">
        <f>IF(Horaires356734512[[#This Row],[PNP Fin]]=0,0,IF(Horaires356734512[[#This Row],[PNP Fin]]&lt;Horaires356734512[[#This Row],[début]],1,0)+Horaires356734512[[#This Row],[PNP Fin]])</f>
        <v>0</v>
      </c>
      <c r="M24" s="54">
        <f>IF(Horaires356734512[[#This Row],[Fin]]&lt;Horaires356734512[[#This Row],[début]],1,0)+Horaires356734512[[#This Row],[Fin]]</f>
        <v>0</v>
      </c>
      <c r="N24" s="35">
        <f>IF(Horaires356734512[[#This Row],[Fin]]&lt;Horaires356734512[[#This Row],[début]],MAX(0,MIN(Horaires356734512[[#This Row],[Fin corrigée si nuit]],fin_nuit)-MAX(Horaires356734512[[#This Row],[début]],deb_nuit))*24,(MAX(deb_nuit,Horaires356734512[[#This Row],[Fin]])-MAX(deb_nuit,Horaires356734512[[#This Row],[début]])+MAX(MIN(fin_nuit-1,Horaires356734512[[#This Row],[Fin]])-MIN(fin_nuit-1,Horaires356734512[[#This Row],[début]]),0))*24)</f>
        <v>0</v>
      </c>
      <c r="O24" s="55">
        <f>(MAX(0,MIN(Horaires356734512[[#This Row],[Fin corrigée si nuit]],fin_nuit)-MAX(Horaires356734512[[#This Row],[début]],deb_nuit))-IF(Horaires356734512[[#This Row],[PNP Début]]=0,0,MIN(Horaires356734512[[#This Row],[PNP Fin corrigée]],fin_nuit)-MAX(Horaires356734512[[#This Row],[PNP Début corrigé]],deb_nuit)))*24</f>
        <v>0</v>
      </c>
      <c r="P24" s="55">
        <f>(IF(WEEKDAY(Horaires356734512[[#This Row],[Date]],2)=7,MAX(0,MIN(fin_dimJF,Horaires356734512[[#This Row],[Fin corrigée si nuit]])-MAX(deb_dimJF,Horaires356734512[[#This Row],[début]])),0)+IF(WEEKDAY(Horaires356734512[[#This Row],[Date]],2)=6,MAX(0,Horaires356734512[[#This Row],[Fin corrigée si nuit]]-(1+deb_dimJF)),0))*24</f>
        <v>0</v>
      </c>
      <c r="Q24" s="55">
        <f>(IF(WEEKDAY(Horaires356734512[[#This Row],[Date]],2)=7,MAX(0,MIN(fin_dimJF,Horaires356734512[[#This Row],[Fin corrigée si nuit]])-MAX(deb_dimJF,Horaires356734512[[#This Row],[début]])),0)+IF(WEEKDAY(Horaires356734512[[#This Row],[Date]],2)=6,MAX(0,Horaires356734512[[#This Row],[Fin corrigée si nuit]]-(1+deb_dimJF)),0))*24-
(IF(WEEKDAY(Horaires356734512[[#This Row],[Date]],2)=7,MAX(0,MIN(fin_dimJF,Horaires356734512[[#This Row],[PNP Fin corrigée]])-MAX(deb_dimJF,Horaires356734512[[#This Row],[PNP Début corrigé]])),0)+IF(WEEKDAY(Horaires356734512[[#This Row],[Date]],2)=6,MAX(0,Horaires356734512[[#This Row],[PNP Fin corrigée]]-(1+deb_dimJF)),0))*24</f>
        <v>0</v>
      </c>
      <c r="R24" s="55">
        <f>(IF(COUNTIF(JF,Horaires356734512[[#This Row],[Date]]),MAX(0,MIN(fin_dimJF,Horaires356734512[[#This Row],[Fin corrigée si nuit]])-MAX(deb_dimJF,Horaires356734512[[#This Row],[début]])),0)+IF(COUNTIF(JF,Horaires356734512[[#This Row],[Date]]+1),MAX(0,Horaires356734512[[#This Row],[Fin corrigée si nuit]]-(1+deb_dimJF)),0))*24</f>
        <v>0</v>
      </c>
      <c r="S24" s="55">
        <f>(IF(COUNTIF(JF,Horaires356734512[[#This Row],[Date]]),MAX(0,MIN(fin_dimJF,Horaires356734512[[#This Row],[Fin corrigée si nuit]])-MAX(deb_dimJF,Horaires356734512[[#This Row],[début]])),0)+IF(COUNTIF(JF,Horaires356734512[[#This Row],[Date]]+1),MAX(0,Horaires356734512[[#This Row],[Fin corrigée si nuit]]-(1+deb_dimJF)),0))*24-
(IF(COUNTIF(JF,Horaires356734512[[#This Row],[Date]]),MAX(0,MIN(fin_dimJF,Horaires356734512[[#This Row],[PNP Fin corrigée]])-MAX(deb_dimJF,Horaires356734512[[#This Row],[PNP Début corrigé]])),0)+IF(COUNTIF(JF,Horaires356734512[[#This Row],[Date]]+1),MAX(0,Horaires356734512[[#This Row],[PNP Fin corrigée]]-(1+deb_dimJF)),0))*24</f>
        <v>0</v>
      </c>
    </row>
    <row r="25" spans="1:19" x14ac:dyDescent="0.35">
      <c r="A25" s="5"/>
      <c r="B25" s="1"/>
      <c r="C25" s="2"/>
      <c r="D25" s="2"/>
      <c r="E25" s="3"/>
      <c r="F25" s="3"/>
      <c r="G25" s="3"/>
      <c r="H25" s="3"/>
      <c r="I25" s="51">
        <f>0.1*(Horaires356734512[[#This Row],[Heures de nuit]]+Horaires356734512[[#This Row],[heures jour dimanche]]+Horaires356734512[[#This Row],[heures jour fériés]])</f>
        <v>0</v>
      </c>
      <c r="J25" s="52">
        <f>(MOD(Horaires356734512[[#This Row],[Fin]]-Horaires356734512[[#This Row],[début]],1)-MOD(Horaires356734512[[#This Row],[PNP Fin]]-Horaires356734512[[#This Row],[PNP Début]],1))*24</f>
        <v>0</v>
      </c>
      <c r="K25" s="53">
        <f>IF(Horaires356734512[[#This Row],[PNP Début]]=0,0,IF(Horaires356734512[[#This Row],[PNP Début]]&lt;Horaires356734512[[#This Row],[début]],1,0)+Horaires356734512[[#This Row],[PNP Début]])</f>
        <v>0</v>
      </c>
      <c r="L25" s="54">
        <f>IF(Horaires356734512[[#This Row],[PNP Fin]]=0,0,IF(Horaires356734512[[#This Row],[PNP Fin]]&lt;Horaires356734512[[#This Row],[début]],1,0)+Horaires356734512[[#This Row],[PNP Fin]])</f>
        <v>0</v>
      </c>
      <c r="M25" s="54">
        <f>IF(Horaires356734512[[#This Row],[Fin]]&lt;Horaires356734512[[#This Row],[début]],1,0)+Horaires356734512[[#This Row],[Fin]]</f>
        <v>0</v>
      </c>
      <c r="N25" s="35">
        <f>IF(Horaires356734512[[#This Row],[Fin]]&lt;Horaires356734512[[#This Row],[début]],MAX(0,MIN(Horaires356734512[[#This Row],[Fin corrigée si nuit]],fin_nuit)-MAX(Horaires356734512[[#This Row],[début]],deb_nuit))*24,(MAX(deb_nuit,Horaires356734512[[#This Row],[Fin]])-MAX(deb_nuit,Horaires356734512[[#This Row],[début]])+MAX(MIN(fin_nuit-1,Horaires356734512[[#This Row],[Fin]])-MIN(fin_nuit-1,Horaires356734512[[#This Row],[début]]),0))*24)</f>
        <v>0</v>
      </c>
      <c r="O25" s="55">
        <f>(MAX(0,MIN(Horaires356734512[[#This Row],[Fin corrigée si nuit]],fin_nuit)-MAX(Horaires356734512[[#This Row],[début]],deb_nuit))-IF(Horaires356734512[[#This Row],[PNP Début]]=0,0,MIN(Horaires356734512[[#This Row],[PNP Fin corrigée]],fin_nuit)-MAX(Horaires356734512[[#This Row],[PNP Début corrigé]],deb_nuit)))*24</f>
        <v>0</v>
      </c>
      <c r="P25" s="55">
        <f>(IF(WEEKDAY(Horaires356734512[[#This Row],[Date]],2)=7,MAX(0,MIN(fin_dimJF,Horaires356734512[[#This Row],[Fin corrigée si nuit]])-MAX(deb_dimJF,Horaires356734512[[#This Row],[début]])),0)+IF(WEEKDAY(Horaires356734512[[#This Row],[Date]],2)=6,MAX(0,Horaires356734512[[#This Row],[Fin corrigée si nuit]]-(1+deb_dimJF)),0))*24</f>
        <v>0</v>
      </c>
      <c r="Q25" s="55">
        <f>(IF(WEEKDAY(Horaires356734512[[#This Row],[Date]],2)=7,MAX(0,MIN(fin_dimJF,Horaires356734512[[#This Row],[Fin corrigée si nuit]])-MAX(deb_dimJF,Horaires356734512[[#This Row],[début]])),0)+IF(WEEKDAY(Horaires356734512[[#This Row],[Date]],2)=6,MAX(0,Horaires356734512[[#This Row],[Fin corrigée si nuit]]-(1+deb_dimJF)),0))*24-
(IF(WEEKDAY(Horaires356734512[[#This Row],[Date]],2)=7,MAX(0,MIN(fin_dimJF,Horaires356734512[[#This Row],[PNP Fin corrigée]])-MAX(deb_dimJF,Horaires356734512[[#This Row],[PNP Début corrigé]])),0)+IF(WEEKDAY(Horaires356734512[[#This Row],[Date]],2)=6,MAX(0,Horaires356734512[[#This Row],[PNP Fin corrigée]]-(1+deb_dimJF)),0))*24</f>
        <v>0</v>
      </c>
      <c r="R25" s="55">
        <f>(IF(COUNTIF(JF,Horaires356734512[[#This Row],[Date]]),MAX(0,MIN(fin_dimJF,Horaires356734512[[#This Row],[Fin corrigée si nuit]])-MAX(deb_dimJF,Horaires356734512[[#This Row],[début]])),0)+IF(COUNTIF(JF,Horaires356734512[[#This Row],[Date]]+1),MAX(0,Horaires356734512[[#This Row],[Fin corrigée si nuit]]-(1+deb_dimJF)),0))*24</f>
        <v>0</v>
      </c>
      <c r="S25" s="55">
        <f>(IF(COUNTIF(JF,Horaires356734512[[#This Row],[Date]]),MAX(0,MIN(fin_dimJF,Horaires356734512[[#This Row],[Fin corrigée si nuit]])-MAX(deb_dimJF,Horaires356734512[[#This Row],[début]])),0)+IF(COUNTIF(JF,Horaires356734512[[#This Row],[Date]]+1),MAX(0,Horaires356734512[[#This Row],[Fin corrigée si nuit]]-(1+deb_dimJF)),0))*24-
(IF(COUNTIF(JF,Horaires356734512[[#This Row],[Date]]),MAX(0,MIN(fin_dimJF,Horaires356734512[[#This Row],[PNP Fin corrigée]])-MAX(deb_dimJF,Horaires356734512[[#This Row],[PNP Début corrigé]])),0)+IF(COUNTIF(JF,Horaires356734512[[#This Row],[Date]]+1),MAX(0,Horaires356734512[[#This Row],[PNP Fin corrigée]]-(1+deb_dimJF)),0))*24</f>
        <v>0</v>
      </c>
    </row>
    <row r="26" spans="1:19" ht="14.4" customHeight="1" x14ac:dyDescent="0.35">
      <c r="A26" s="5"/>
      <c r="B26" s="1"/>
      <c r="C26" s="2"/>
      <c r="D26" s="2"/>
      <c r="E26" s="3"/>
      <c r="F26" s="3"/>
      <c r="G26" s="3"/>
      <c r="H26" s="3"/>
      <c r="I26" s="51">
        <f>0.1*(Horaires356734512[[#This Row],[Heures de nuit]]+Horaires356734512[[#This Row],[heures jour dimanche]]+Horaires356734512[[#This Row],[heures jour fériés]])</f>
        <v>0</v>
      </c>
      <c r="J26" s="52">
        <f>(MOD(Horaires356734512[[#This Row],[Fin]]-Horaires356734512[[#This Row],[début]],1)-MOD(Horaires356734512[[#This Row],[PNP Fin]]-Horaires356734512[[#This Row],[PNP Début]],1))*24</f>
        <v>0</v>
      </c>
      <c r="K26" s="53">
        <f>IF(Horaires356734512[[#This Row],[PNP Début]]=0,0,IF(Horaires356734512[[#This Row],[PNP Début]]&lt;Horaires356734512[[#This Row],[début]],1,0)+Horaires356734512[[#This Row],[PNP Début]])</f>
        <v>0</v>
      </c>
      <c r="L26" s="54">
        <f>IF(Horaires356734512[[#This Row],[PNP Fin]]=0,0,IF(Horaires356734512[[#This Row],[PNP Fin]]&lt;Horaires356734512[[#This Row],[début]],1,0)+Horaires356734512[[#This Row],[PNP Fin]])</f>
        <v>0</v>
      </c>
      <c r="M26" s="54">
        <f>IF(Horaires356734512[[#This Row],[Fin]]&lt;Horaires356734512[[#This Row],[début]],1,0)+Horaires356734512[[#This Row],[Fin]]</f>
        <v>0</v>
      </c>
      <c r="N26" s="35">
        <f>IF(Horaires356734512[[#This Row],[Fin]]&lt;Horaires356734512[[#This Row],[début]],MAX(0,MIN(Horaires356734512[[#This Row],[Fin corrigée si nuit]],fin_nuit)-MAX(Horaires356734512[[#This Row],[début]],deb_nuit))*24,(MAX(deb_nuit,Horaires356734512[[#This Row],[Fin]])-MAX(deb_nuit,Horaires356734512[[#This Row],[début]])+MAX(MIN(fin_nuit-1,Horaires356734512[[#This Row],[Fin]])-MIN(fin_nuit-1,Horaires356734512[[#This Row],[début]]),0))*24)</f>
        <v>0</v>
      </c>
      <c r="O26" s="55">
        <f>(MAX(0,MIN(Horaires356734512[[#This Row],[Fin corrigée si nuit]],fin_nuit)-MAX(Horaires356734512[[#This Row],[début]],deb_nuit))-IF(Horaires356734512[[#This Row],[PNP Début]]=0,0,MIN(Horaires356734512[[#This Row],[PNP Fin corrigée]],fin_nuit)-MAX(Horaires356734512[[#This Row],[PNP Début corrigé]],deb_nuit)))*24</f>
        <v>0</v>
      </c>
      <c r="P26" s="55">
        <f>(IF(WEEKDAY(Horaires356734512[[#This Row],[Date]],2)=7,MAX(0,MIN(fin_dimJF,Horaires356734512[[#This Row],[Fin corrigée si nuit]])-MAX(deb_dimJF,Horaires356734512[[#This Row],[début]])),0)+IF(WEEKDAY(Horaires356734512[[#This Row],[Date]],2)=6,MAX(0,Horaires356734512[[#This Row],[Fin corrigée si nuit]]-(1+deb_dimJF)),0))*24</f>
        <v>0</v>
      </c>
      <c r="Q26" s="55">
        <f>(IF(WEEKDAY(Horaires356734512[[#This Row],[Date]],2)=7,MAX(0,MIN(fin_dimJF,Horaires356734512[[#This Row],[Fin corrigée si nuit]])-MAX(deb_dimJF,Horaires356734512[[#This Row],[début]])),0)+IF(WEEKDAY(Horaires356734512[[#This Row],[Date]],2)=6,MAX(0,Horaires356734512[[#This Row],[Fin corrigée si nuit]]-(1+deb_dimJF)),0))*24-
(IF(WEEKDAY(Horaires356734512[[#This Row],[Date]],2)=7,MAX(0,MIN(fin_dimJF,Horaires356734512[[#This Row],[PNP Fin corrigée]])-MAX(deb_dimJF,Horaires356734512[[#This Row],[PNP Début corrigé]])),0)+IF(WEEKDAY(Horaires356734512[[#This Row],[Date]],2)=6,MAX(0,Horaires356734512[[#This Row],[PNP Fin corrigée]]-(1+deb_dimJF)),0))*24</f>
        <v>0</v>
      </c>
      <c r="R26" s="55">
        <f>(IF(COUNTIF(JF,Horaires356734512[[#This Row],[Date]]),MAX(0,MIN(fin_dimJF,Horaires356734512[[#This Row],[Fin corrigée si nuit]])-MAX(deb_dimJF,Horaires356734512[[#This Row],[début]])),0)+IF(COUNTIF(JF,Horaires356734512[[#This Row],[Date]]+1),MAX(0,Horaires356734512[[#This Row],[Fin corrigée si nuit]]-(1+deb_dimJF)),0))*24</f>
        <v>0</v>
      </c>
      <c r="S26" s="55">
        <f>(IF(COUNTIF(JF,Horaires356734512[[#This Row],[Date]]),MAX(0,MIN(fin_dimJF,Horaires356734512[[#This Row],[Fin corrigée si nuit]])-MAX(deb_dimJF,Horaires356734512[[#This Row],[début]])),0)+IF(COUNTIF(JF,Horaires356734512[[#This Row],[Date]]+1),MAX(0,Horaires356734512[[#This Row],[Fin corrigée si nuit]]-(1+deb_dimJF)),0))*24-
(IF(COUNTIF(JF,Horaires356734512[[#This Row],[Date]]),MAX(0,MIN(fin_dimJF,Horaires356734512[[#This Row],[PNP Fin corrigée]])-MAX(deb_dimJF,Horaires356734512[[#This Row],[PNP Début corrigé]])),0)+IF(COUNTIF(JF,Horaires356734512[[#This Row],[Date]]+1),MAX(0,Horaires356734512[[#This Row],[PNP Fin corrigée]]-(1+deb_dimJF)),0))*24</f>
        <v>0</v>
      </c>
    </row>
    <row r="27" spans="1:19" x14ac:dyDescent="0.35">
      <c r="A27" s="5"/>
      <c r="B27" s="1"/>
      <c r="C27" s="2"/>
      <c r="D27" s="2"/>
      <c r="E27" s="3"/>
      <c r="F27" s="3"/>
      <c r="G27" s="3"/>
      <c r="H27" s="3"/>
      <c r="I27" s="51">
        <f>0.1*(Horaires356734512[[#This Row],[Heures de nuit]]+Horaires356734512[[#This Row],[heures jour dimanche]]+Horaires356734512[[#This Row],[heures jour fériés]])</f>
        <v>0</v>
      </c>
      <c r="J27" s="52">
        <f>(MOD(Horaires356734512[[#This Row],[Fin]]-Horaires356734512[[#This Row],[début]],1)-MOD(Horaires356734512[[#This Row],[PNP Fin]]-Horaires356734512[[#This Row],[PNP Début]],1))*24</f>
        <v>0</v>
      </c>
      <c r="K27" s="53">
        <f>IF(Horaires356734512[[#This Row],[PNP Début]]=0,0,IF(Horaires356734512[[#This Row],[PNP Début]]&lt;Horaires356734512[[#This Row],[début]],1,0)+Horaires356734512[[#This Row],[PNP Début]])</f>
        <v>0</v>
      </c>
      <c r="L27" s="54">
        <f>IF(Horaires356734512[[#This Row],[PNP Fin]]=0,0,IF(Horaires356734512[[#This Row],[PNP Fin]]&lt;Horaires356734512[[#This Row],[début]],1,0)+Horaires356734512[[#This Row],[PNP Fin]])</f>
        <v>0</v>
      </c>
      <c r="M27" s="54">
        <f>IF(Horaires356734512[[#This Row],[Fin]]&lt;Horaires356734512[[#This Row],[début]],1,0)+Horaires356734512[[#This Row],[Fin]]</f>
        <v>0</v>
      </c>
      <c r="N27" s="35">
        <f>IF(Horaires356734512[[#This Row],[Fin]]&lt;Horaires356734512[[#This Row],[début]],MAX(0,MIN(Horaires356734512[[#This Row],[Fin corrigée si nuit]],fin_nuit)-MAX(Horaires356734512[[#This Row],[début]],deb_nuit))*24,(MAX(deb_nuit,Horaires356734512[[#This Row],[Fin]])-MAX(deb_nuit,Horaires356734512[[#This Row],[début]])+MAX(MIN(fin_nuit-1,Horaires356734512[[#This Row],[Fin]])-MIN(fin_nuit-1,Horaires356734512[[#This Row],[début]]),0))*24)</f>
        <v>0</v>
      </c>
      <c r="O27" s="55">
        <f>(MAX(0,MIN(Horaires356734512[[#This Row],[Fin corrigée si nuit]],fin_nuit)-MAX(Horaires356734512[[#This Row],[début]],deb_nuit))-IF(Horaires356734512[[#This Row],[PNP Début]]=0,0,MIN(Horaires356734512[[#This Row],[PNP Fin corrigée]],fin_nuit)-MAX(Horaires356734512[[#This Row],[PNP Début corrigé]],deb_nuit)))*24</f>
        <v>0</v>
      </c>
      <c r="P27" s="55">
        <f>(IF(WEEKDAY(Horaires356734512[[#This Row],[Date]],2)=7,MAX(0,MIN(fin_dimJF,Horaires356734512[[#This Row],[Fin corrigée si nuit]])-MAX(deb_dimJF,Horaires356734512[[#This Row],[début]])),0)+IF(WEEKDAY(Horaires356734512[[#This Row],[Date]],2)=6,MAX(0,Horaires356734512[[#This Row],[Fin corrigée si nuit]]-(1+deb_dimJF)),0))*24</f>
        <v>0</v>
      </c>
      <c r="Q27" s="55">
        <f>(IF(WEEKDAY(Horaires356734512[[#This Row],[Date]],2)=7,MAX(0,MIN(fin_dimJF,Horaires356734512[[#This Row],[Fin corrigée si nuit]])-MAX(deb_dimJF,Horaires356734512[[#This Row],[début]])),0)+IF(WEEKDAY(Horaires356734512[[#This Row],[Date]],2)=6,MAX(0,Horaires356734512[[#This Row],[Fin corrigée si nuit]]-(1+deb_dimJF)),0))*24-
(IF(WEEKDAY(Horaires356734512[[#This Row],[Date]],2)=7,MAX(0,MIN(fin_dimJF,Horaires356734512[[#This Row],[PNP Fin corrigée]])-MAX(deb_dimJF,Horaires356734512[[#This Row],[PNP Début corrigé]])),0)+IF(WEEKDAY(Horaires356734512[[#This Row],[Date]],2)=6,MAX(0,Horaires356734512[[#This Row],[PNP Fin corrigée]]-(1+deb_dimJF)),0))*24</f>
        <v>0</v>
      </c>
      <c r="R27" s="55">
        <f>(IF(COUNTIF(JF,Horaires356734512[[#This Row],[Date]]),MAX(0,MIN(fin_dimJF,Horaires356734512[[#This Row],[Fin corrigée si nuit]])-MAX(deb_dimJF,Horaires356734512[[#This Row],[début]])),0)+IF(COUNTIF(JF,Horaires356734512[[#This Row],[Date]]+1),MAX(0,Horaires356734512[[#This Row],[Fin corrigée si nuit]]-(1+deb_dimJF)),0))*24</f>
        <v>0</v>
      </c>
      <c r="S27" s="55">
        <f>(IF(COUNTIF(JF,Horaires356734512[[#This Row],[Date]]),MAX(0,MIN(fin_dimJF,Horaires356734512[[#This Row],[Fin corrigée si nuit]])-MAX(deb_dimJF,Horaires356734512[[#This Row],[début]])),0)+IF(COUNTIF(JF,Horaires356734512[[#This Row],[Date]]+1),MAX(0,Horaires356734512[[#This Row],[Fin corrigée si nuit]]-(1+deb_dimJF)),0))*24-
(IF(COUNTIF(JF,Horaires356734512[[#This Row],[Date]]),MAX(0,MIN(fin_dimJF,Horaires356734512[[#This Row],[PNP Fin corrigée]])-MAX(deb_dimJF,Horaires356734512[[#This Row],[PNP Début corrigé]])),0)+IF(COUNTIF(JF,Horaires356734512[[#This Row],[Date]]+1),MAX(0,Horaires356734512[[#This Row],[PNP Fin corrigée]]-(1+deb_dimJF)),0))*24</f>
        <v>0</v>
      </c>
    </row>
    <row r="28" spans="1:19" x14ac:dyDescent="0.35">
      <c r="A28" s="5"/>
      <c r="B28" s="1"/>
      <c r="C28" s="2"/>
      <c r="D28" s="2"/>
      <c r="E28" s="3"/>
      <c r="F28" s="3"/>
      <c r="G28" s="3"/>
      <c r="H28" s="3"/>
      <c r="I28" s="51">
        <f>0.1*(Horaires356734512[[#This Row],[Heures de nuit]]+Horaires356734512[[#This Row],[heures jour dimanche]]+Horaires356734512[[#This Row],[heures jour fériés]])</f>
        <v>0</v>
      </c>
      <c r="J28" s="52">
        <f>(MOD(Horaires356734512[[#This Row],[Fin]]-Horaires356734512[[#This Row],[début]],1)-MOD(Horaires356734512[[#This Row],[PNP Fin]]-Horaires356734512[[#This Row],[PNP Début]],1))*24</f>
        <v>0</v>
      </c>
      <c r="K28" s="53">
        <f>IF(Horaires356734512[[#This Row],[PNP Début]]=0,0,IF(Horaires356734512[[#This Row],[PNP Début]]&lt;Horaires356734512[[#This Row],[début]],1,0)+Horaires356734512[[#This Row],[PNP Début]])</f>
        <v>0</v>
      </c>
      <c r="L28" s="54">
        <f>IF(Horaires356734512[[#This Row],[PNP Fin]]=0,0,IF(Horaires356734512[[#This Row],[PNP Fin]]&lt;Horaires356734512[[#This Row],[début]],1,0)+Horaires356734512[[#This Row],[PNP Fin]])</f>
        <v>0</v>
      </c>
      <c r="M28" s="54">
        <f>IF(Horaires356734512[[#This Row],[Fin]]&lt;Horaires356734512[[#This Row],[début]],1,0)+Horaires356734512[[#This Row],[Fin]]</f>
        <v>0</v>
      </c>
      <c r="N28" s="35">
        <f>IF(Horaires356734512[[#This Row],[Fin]]&lt;Horaires356734512[[#This Row],[début]],MAX(0,MIN(Horaires356734512[[#This Row],[Fin corrigée si nuit]],fin_nuit)-MAX(Horaires356734512[[#This Row],[début]],deb_nuit))*24,(MAX(deb_nuit,Horaires356734512[[#This Row],[Fin]])-MAX(deb_nuit,Horaires356734512[[#This Row],[début]])+MAX(MIN(fin_nuit-1,Horaires356734512[[#This Row],[Fin]])-MIN(fin_nuit-1,Horaires356734512[[#This Row],[début]]),0))*24)</f>
        <v>0</v>
      </c>
      <c r="O28" s="55">
        <f>(MAX(0,MIN(Horaires356734512[[#This Row],[Fin corrigée si nuit]],fin_nuit)-MAX(Horaires356734512[[#This Row],[début]],deb_nuit))-IF(Horaires356734512[[#This Row],[PNP Début]]=0,0,MIN(Horaires356734512[[#This Row],[PNP Fin corrigée]],fin_nuit)-MAX(Horaires356734512[[#This Row],[PNP Début corrigé]],deb_nuit)))*24</f>
        <v>0</v>
      </c>
      <c r="P28" s="55">
        <f>(IF(WEEKDAY(Horaires356734512[[#This Row],[Date]],2)=7,MAX(0,MIN(fin_dimJF,Horaires356734512[[#This Row],[Fin corrigée si nuit]])-MAX(deb_dimJF,Horaires356734512[[#This Row],[début]])),0)+IF(WEEKDAY(Horaires356734512[[#This Row],[Date]],2)=6,MAX(0,Horaires356734512[[#This Row],[Fin corrigée si nuit]]-(1+deb_dimJF)),0))*24</f>
        <v>0</v>
      </c>
      <c r="Q28" s="55">
        <f>(IF(WEEKDAY(Horaires356734512[[#This Row],[Date]],2)=7,MAX(0,MIN(fin_dimJF,Horaires356734512[[#This Row],[Fin corrigée si nuit]])-MAX(deb_dimJF,Horaires356734512[[#This Row],[début]])),0)+IF(WEEKDAY(Horaires356734512[[#This Row],[Date]],2)=6,MAX(0,Horaires356734512[[#This Row],[Fin corrigée si nuit]]-(1+deb_dimJF)),0))*24-
(IF(WEEKDAY(Horaires356734512[[#This Row],[Date]],2)=7,MAX(0,MIN(fin_dimJF,Horaires356734512[[#This Row],[PNP Fin corrigée]])-MAX(deb_dimJF,Horaires356734512[[#This Row],[PNP Début corrigé]])),0)+IF(WEEKDAY(Horaires356734512[[#This Row],[Date]],2)=6,MAX(0,Horaires356734512[[#This Row],[PNP Fin corrigée]]-(1+deb_dimJF)),0))*24</f>
        <v>0</v>
      </c>
      <c r="R28" s="55">
        <f>(IF(COUNTIF(JF,Horaires356734512[[#This Row],[Date]]),MAX(0,MIN(fin_dimJF,Horaires356734512[[#This Row],[Fin corrigée si nuit]])-MAX(deb_dimJF,Horaires356734512[[#This Row],[début]])),0)+IF(COUNTIF(JF,Horaires356734512[[#This Row],[Date]]+1),MAX(0,Horaires356734512[[#This Row],[Fin corrigée si nuit]]-(1+deb_dimJF)),0))*24</f>
        <v>0</v>
      </c>
      <c r="S28" s="55">
        <f>(IF(COUNTIF(JF,Horaires356734512[[#This Row],[Date]]),MAX(0,MIN(fin_dimJF,Horaires356734512[[#This Row],[Fin corrigée si nuit]])-MAX(deb_dimJF,Horaires356734512[[#This Row],[début]])),0)+IF(COUNTIF(JF,Horaires356734512[[#This Row],[Date]]+1),MAX(0,Horaires356734512[[#This Row],[Fin corrigée si nuit]]-(1+deb_dimJF)),0))*24-
(IF(COUNTIF(JF,Horaires356734512[[#This Row],[Date]]),MAX(0,MIN(fin_dimJF,Horaires356734512[[#This Row],[PNP Fin corrigée]])-MAX(deb_dimJF,Horaires356734512[[#This Row],[PNP Début corrigé]])),0)+IF(COUNTIF(JF,Horaires356734512[[#This Row],[Date]]+1),MAX(0,Horaires356734512[[#This Row],[PNP Fin corrigée]]-(1+deb_dimJF)),0))*24</f>
        <v>0</v>
      </c>
    </row>
    <row r="29" spans="1:19" x14ac:dyDescent="0.35">
      <c r="A29" s="5"/>
      <c r="B29" s="1"/>
      <c r="C29" s="2"/>
      <c r="D29" s="2"/>
      <c r="E29" s="3"/>
      <c r="F29" s="3"/>
      <c r="G29" s="3"/>
      <c r="H29" s="3"/>
      <c r="I29" s="51">
        <f>0.1*(Horaires356734512[[#This Row],[Heures de nuit]]+Horaires356734512[[#This Row],[heures jour dimanche]]+Horaires356734512[[#This Row],[heures jour fériés]])</f>
        <v>0</v>
      </c>
      <c r="J29" s="52">
        <f>(MOD(Horaires356734512[[#This Row],[Fin]]-Horaires356734512[[#This Row],[début]],1)-MOD(Horaires356734512[[#This Row],[PNP Fin]]-Horaires356734512[[#This Row],[PNP Début]],1))*24</f>
        <v>0</v>
      </c>
      <c r="K29" s="53">
        <f>IF(Horaires356734512[[#This Row],[PNP Début]]=0,0,IF(Horaires356734512[[#This Row],[PNP Début]]&lt;Horaires356734512[[#This Row],[début]],1,0)+Horaires356734512[[#This Row],[PNP Début]])</f>
        <v>0</v>
      </c>
      <c r="L29" s="54">
        <f>IF(Horaires356734512[[#This Row],[PNP Fin]]=0,0,IF(Horaires356734512[[#This Row],[PNP Fin]]&lt;Horaires356734512[[#This Row],[début]],1,0)+Horaires356734512[[#This Row],[PNP Fin]])</f>
        <v>0</v>
      </c>
      <c r="M29" s="54">
        <f>IF(Horaires356734512[[#This Row],[Fin]]&lt;Horaires356734512[[#This Row],[début]],1,0)+Horaires356734512[[#This Row],[Fin]]</f>
        <v>0</v>
      </c>
      <c r="N29" s="35">
        <f>IF(Horaires356734512[[#This Row],[Fin]]&lt;Horaires356734512[[#This Row],[début]],MAX(0,MIN(Horaires356734512[[#This Row],[Fin corrigée si nuit]],fin_nuit)-MAX(Horaires356734512[[#This Row],[début]],deb_nuit))*24,(MAX(deb_nuit,Horaires356734512[[#This Row],[Fin]])-MAX(deb_nuit,Horaires356734512[[#This Row],[début]])+MAX(MIN(fin_nuit-1,Horaires356734512[[#This Row],[Fin]])-MIN(fin_nuit-1,Horaires356734512[[#This Row],[début]]),0))*24)</f>
        <v>0</v>
      </c>
      <c r="O29" s="55">
        <f>(MAX(0,MIN(Horaires356734512[[#This Row],[Fin corrigée si nuit]],fin_nuit)-MAX(Horaires356734512[[#This Row],[début]],deb_nuit))-IF(Horaires356734512[[#This Row],[PNP Début]]=0,0,MIN(Horaires356734512[[#This Row],[PNP Fin corrigée]],fin_nuit)-MAX(Horaires356734512[[#This Row],[PNP Début corrigé]],deb_nuit)))*24</f>
        <v>0</v>
      </c>
      <c r="P29" s="55">
        <f>(IF(WEEKDAY(Horaires356734512[[#This Row],[Date]],2)=7,MAX(0,MIN(fin_dimJF,Horaires356734512[[#This Row],[Fin corrigée si nuit]])-MAX(deb_dimJF,Horaires356734512[[#This Row],[début]])),0)+IF(WEEKDAY(Horaires356734512[[#This Row],[Date]],2)=6,MAX(0,Horaires356734512[[#This Row],[Fin corrigée si nuit]]-(1+deb_dimJF)),0))*24</f>
        <v>0</v>
      </c>
      <c r="Q29" s="55">
        <f>(IF(WEEKDAY(Horaires356734512[[#This Row],[Date]],2)=7,MAX(0,MIN(fin_dimJF,Horaires356734512[[#This Row],[Fin corrigée si nuit]])-MAX(deb_dimJF,Horaires356734512[[#This Row],[début]])),0)+IF(WEEKDAY(Horaires356734512[[#This Row],[Date]],2)=6,MAX(0,Horaires356734512[[#This Row],[Fin corrigée si nuit]]-(1+deb_dimJF)),0))*24-
(IF(WEEKDAY(Horaires356734512[[#This Row],[Date]],2)=7,MAX(0,MIN(fin_dimJF,Horaires356734512[[#This Row],[PNP Fin corrigée]])-MAX(deb_dimJF,Horaires356734512[[#This Row],[PNP Début corrigé]])),0)+IF(WEEKDAY(Horaires356734512[[#This Row],[Date]],2)=6,MAX(0,Horaires356734512[[#This Row],[PNP Fin corrigée]]-(1+deb_dimJF)),0))*24</f>
        <v>0</v>
      </c>
      <c r="R29" s="55">
        <f>(IF(COUNTIF(JF,Horaires356734512[[#This Row],[Date]]),MAX(0,MIN(fin_dimJF,Horaires356734512[[#This Row],[Fin corrigée si nuit]])-MAX(deb_dimJF,Horaires356734512[[#This Row],[début]])),0)+IF(COUNTIF(JF,Horaires356734512[[#This Row],[Date]]+1),MAX(0,Horaires356734512[[#This Row],[Fin corrigée si nuit]]-(1+deb_dimJF)),0))*24</f>
        <v>0</v>
      </c>
      <c r="S29" s="55">
        <f>(IF(COUNTIF(JF,Horaires356734512[[#This Row],[Date]]),MAX(0,MIN(fin_dimJF,Horaires356734512[[#This Row],[Fin corrigée si nuit]])-MAX(deb_dimJF,Horaires356734512[[#This Row],[début]])),0)+IF(COUNTIF(JF,Horaires356734512[[#This Row],[Date]]+1),MAX(0,Horaires356734512[[#This Row],[Fin corrigée si nuit]]-(1+deb_dimJF)),0))*24-
(IF(COUNTIF(JF,Horaires356734512[[#This Row],[Date]]),MAX(0,MIN(fin_dimJF,Horaires356734512[[#This Row],[PNP Fin corrigée]])-MAX(deb_dimJF,Horaires356734512[[#This Row],[PNP Début corrigé]])),0)+IF(COUNTIF(JF,Horaires356734512[[#This Row],[Date]]+1),MAX(0,Horaires356734512[[#This Row],[PNP Fin corrigée]]-(1+deb_dimJF)),0))*24</f>
        <v>0</v>
      </c>
    </row>
    <row r="30" spans="1:19" x14ac:dyDescent="0.35">
      <c r="A30" s="5"/>
      <c r="B30" s="1"/>
      <c r="C30" s="2"/>
      <c r="D30" s="2"/>
      <c r="E30" s="3"/>
      <c r="F30" s="3"/>
      <c r="G30" s="3"/>
      <c r="H30" s="3"/>
      <c r="I30" s="51">
        <f>0.1*(Horaires356734512[[#This Row],[Heures de nuit]]+Horaires356734512[[#This Row],[heures jour dimanche]]+Horaires356734512[[#This Row],[heures jour fériés]])</f>
        <v>0</v>
      </c>
      <c r="J30" s="52">
        <f>(MOD(Horaires356734512[[#This Row],[Fin]]-Horaires356734512[[#This Row],[début]],1)-MOD(Horaires356734512[[#This Row],[PNP Fin]]-Horaires356734512[[#This Row],[PNP Début]],1))*24</f>
        <v>0</v>
      </c>
      <c r="K30" s="53">
        <f>IF(Horaires356734512[[#This Row],[PNP Début]]=0,0,IF(Horaires356734512[[#This Row],[PNP Début]]&lt;Horaires356734512[[#This Row],[début]],1,0)+Horaires356734512[[#This Row],[PNP Début]])</f>
        <v>0</v>
      </c>
      <c r="L30" s="54">
        <f>IF(Horaires356734512[[#This Row],[PNP Fin]]=0,0,IF(Horaires356734512[[#This Row],[PNP Fin]]&lt;Horaires356734512[[#This Row],[début]],1,0)+Horaires356734512[[#This Row],[PNP Fin]])</f>
        <v>0</v>
      </c>
      <c r="M30" s="54">
        <f>IF(Horaires356734512[[#This Row],[Fin]]&lt;Horaires356734512[[#This Row],[début]],1,0)+Horaires356734512[[#This Row],[Fin]]</f>
        <v>0</v>
      </c>
      <c r="N30" s="35">
        <f>IF(Horaires356734512[[#This Row],[Fin]]&lt;Horaires356734512[[#This Row],[début]],MAX(0,MIN(Horaires356734512[[#This Row],[Fin corrigée si nuit]],fin_nuit)-MAX(Horaires356734512[[#This Row],[début]],deb_nuit))*24,(MAX(deb_nuit,Horaires356734512[[#This Row],[Fin]])-MAX(deb_nuit,Horaires356734512[[#This Row],[début]])+MAX(MIN(fin_nuit-1,Horaires356734512[[#This Row],[Fin]])-MIN(fin_nuit-1,Horaires356734512[[#This Row],[début]]),0))*24)</f>
        <v>0</v>
      </c>
      <c r="O30" s="55">
        <f>(MAX(0,MIN(Horaires356734512[[#This Row],[Fin corrigée si nuit]],fin_nuit)-MAX(Horaires356734512[[#This Row],[début]],deb_nuit))-IF(Horaires356734512[[#This Row],[PNP Début]]=0,0,MIN(Horaires356734512[[#This Row],[PNP Fin corrigée]],fin_nuit)-MAX(Horaires356734512[[#This Row],[PNP Début corrigé]],deb_nuit)))*24</f>
        <v>0</v>
      </c>
      <c r="P30" s="55">
        <f>(IF(WEEKDAY(Horaires356734512[[#This Row],[Date]],2)=7,MAX(0,MIN(fin_dimJF,Horaires356734512[[#This Row],[Fin corrigée si nuit]])-MAX(deb_dimJF,Horaires356734512[[#This Row],[début]])),0)+IF(WEEKDAY(Horaires356734512[[#This Row],[Date]],2)=6,MAX(0,Horaires356734512[[#This Row],[Fin corrigée si nuit]]-(1+deb_dimJF)),0))*24</f>
        <v>0</v>
      </c>
      <c r="Q30" s="55">
        <f>(IF(WEEKDAY(Horaires356734512[[#This Row],[Date]],2)=7,MAX(0,MIN(fin_dimJF,Horaires356734512[[#This Row],[Fin corrigée si nuit]])-MAX(deb_dimJF,Horaires356734512[[#This Row],[début]])),0)+IF(WEEKDAY(Horaires356734512[[#This Row],[Date]],2)=6,MAX(0,Horaires356734512[[#This Row],[Fin corrigée si nuit]]-(1+deb_dimJF)),0))*24-
(IF(WEEKDAY(Horaires356734512[[#This Row],[Date]],2)=7,MAX(0,MIN(fin_dimJF,Horaires356734512[[#This Row],[PNP Fin corrigée]])-MAX(deb_dimJF,Horaires356734512[[#This Row],[PNP Début corrigé]])),0)+IF(WEEKDAY(Horaires356734512[[#This Row],[Date]],2)=6,MAX(0,Horaires356734512[[#This Row],[PNP Fin corrigée]]-(1+deb_dimJF)),0))*24</f>
        <v>0</v>
      </c>
      <c r="R30" s="55">
        <f>(IF(COUNTIF(JF,Horaires356734512[[#This Row],[Date]]),MAX(0,MIN(fin_dimJF,Horaires356734512[[#This Row],[Fin corrigée si nuit]])-MAX(deb_dimJF,Horaires356734512[[#This Row],[début]])),0)+IF(COUNTIF(JF,Horaires356734512[[#This Row],[Date]]+1),MAX(0,Horaires356734512[[#This Row],[Fin corrigée si nuit]]-(1+deb_dimJF)),0))*24</f>
        <v>0</v>
      </c>
      <c r="S30" s="55">
        <f>(IF(COUNTIF(JF,Horaires356734512[[#This Row],[Date]]),MAX(0,MIN(fin_dimJF,Horaires356734512[[#This Row],[Fin corrigée si nuit]])-MAX(deb_dimJF,Horaires356734512[[#This Row],[début]])),0)+IF(COUNTIF(JF,Horaires356734512[[#This Row],[Date]]+1),MAX(0,Horaires356734512[[#This Row],[Fin corrigée si nuit]]-(1+deb_dimJF)),0))*24-
(IF(COUNTIF(JF,Horaires356734512[[#This Row],[Date]]),MAX(0,MIN(fin_dimJF,Horaires356734512[[#This Row],[PNP Fin corrigée]])-MAX(deb_dimJF,Horaires356734512[[#This Row],[PNP Début corrigé]])),0)+IF(COUNTIF(JF,Horaires356734512[[#This Row],[Date]]+1),MAX(0,Horaires356734512[[#This Row],[PNP Fin corrigée]]-(1+deb_dimJF)),0))*24</f>
        <v>0</v>
      </c>
    </row>
    <row r="31" spans="1:19" x14ac:dyDescent="0.35">
      <c r="A31" s="5"/>
      <c r="B31" s="1"/>
      <c r="C31" s="2"/>
      <c r="D31" s="2"/>
      <c r="E31" s="3"/>
      <c r="F31" s="3"/>
      <c r="G31" s="3"/>
      <c r="H31" s="3"/>
      <c r="I31" s="51">
        <f>0.1*(Horaires356734512[[#This Row],[Heures de nuit]]+Horaires356734512[[#This Row],[heures jour dimanche]]+Horaires356734512[[#This Row],[heures jour fériés]])</f>
        <v>0</v>
      </c>
      <c r="J31" s="52">
        <f>(MOD(Horaires356734512[[#This Row],[Fin]]-Horaires356734512[[#This Row],[début]],1)-MOD(Horaires356734512[[#This Row],[PNP Fin]]-Horaires356734512[[#This Row],[PNP Début]],1))*24</f>
        <v>0</v>
      </c>
      <c r="K31" s="53">
        <f>IF(Horaires356734512[[#This Row],[PNP Début]]=0,0,IF(Horaires356734512[[#This Row],[PNP Début]]&lt;Horaires356734512[[#This Row],[début]],1,0)+Horaires356734512[[#This Row],[PNP Début]])</f>
        <v>0</v>
      </c>
      <c r="L31" s="54">
        <f>IF(Horaires356734512[[#This Row],[PNP Fin]]=0,0,IF(Horaires356734512[[#This Row],[PNP Fin]]&lt;Horaires356734512[[#This Row],[début]],1,0)+Horaires356734512[[#This Row],[PNP Fin]])</f>
        <v>0</v>
      </c>
      <c r="M31" s="54">
        <f>IF(Horaires356734512[[#This Row],[Fin]]&lt;Horaires356734512[[#This Row],[début]],1,0)+Horaires356734512[[#This Row],[Fin]]</f>
        <v>0</v>
      </c>
      <c r="N31" s="35">
        <f>IF(Horaires356734512[[#This Row],[Fin]]&lt;Horaires356734512[[#This Row],[début]],MAX(0,MIN(Horaires356734512[[#This Row],[Fin corrigée si nuit]],fin_nuit)-MAX(Horaires356734512[[#This Row],[début]],deb_nuit))*24,(MAX(deb_nuit,Horaires356734512[[#This Row],[Fin]])-MAX(deb_nuit,Horaires356734512[[#This Row],[début]])+MAX(MIN(fin_nuit-1,Horaires356734512[[#This Row],[Fin]])-MIN(fin_nuit-1,Horaires356734512[[#This Row],[début]]),0))*24)</f>
        <v>0</v>
      </c>
      <c r="O31" s="55">
        <f>(MAX(0,MIN(Horaires356734512[[#This Row],[Fin corrigée si nuit]],fin_nuit)-MAX(Horaires356734512[[#This Row],[début]],deb_nuit))-IF(Horaires356734512[[#This Row],[PNP Début]]=0,0,MIN(Horaires356734512[[#This Row],[PNP Fin corrigée]],fin_nuit)-MAX(Horaires356734512[[#This Row],[PNP Début corrigé]],deb_nuit)))*24</f>
        <v>0</v>
      </c>
      <c r="P31" s="55">
        <f>(IF(WEEKDAY(Horaires356734512[[#This Row],[Date]],2)=7,MAX(0,MIN(fin_dimJF,Horaires356734512[[#This Row],[Fin corrigée si nuit]])-MAX(deb_dimJF,Horaires356734512[[#This Row],[début]])),0)+IF(WEEKDAY(Horaires356734512[[#This Row],[Date]],2)=6,MAX(0,Horaires356734512[[#This Row],[Fin corrigée si nuit]]-(1+deb_dimJF)),0))*24</f>
        <v>0</v>
      </c>
      <c r="Q31" s="55">
        <f>(IF(WEEKDAY(Horaires356734512[[#This Row],[Date]],2)=7,MAX(0,MIN(fin_dimJF,Horaires356734512[[#This Row],[Fin corrigée si nuit]])-MAX(deb_dimJF,Horaires356734512[[#This Row],[début]])),0)+IF(WEEKDAY(Horaires356734512[[#This Row],[Date]],2)=6,MAX(0,Horaires356734512[[#This Row],[Fin corrigée si nuit]]-(1+deb_dimJF)),0))*24-
(IF(WEEKDAY(Horaires356734512[[#This Row],[Date]],2)=7,MAX(0,MIN(fin_dimJF,Horaires356734512[[#This Row],[PNP Fin corrigée]])-MAX(deb_dimJF,Horaires356734512[[#This Row],[PNP Début corrigé]])),0)+IF(WEEKDAY(Horaires356734512[[#This Row],[Date]],2)=6,MAX(0,Horaires356734512[[#This Row],[PNP Fin corrigée]]-(1+deb_dimJF)),0))*24</f>
        <v>0</v>
      </c>
      <c r="R31" s="55">
        <f>(IF(COUNTIF(JF,Horaires356734512[[#This Row],[Date]]),MAX(0,MIN(fin_dimJF,Horaires356734512[[#This Row],[Fin corrigée si nuit]])-MAX(deb_dimJF,Horaires356734512[[#This Row],[début]])),0)+IF(COUNTIF(JF,Horaires356734512[[#This Row],[Date]]+1),MAX(0,Horaires356734512[[#This Row],[Fin corrigée si nuit]]-(1+deb_dimJF)),0))*24</f>
        <v>0</v>
      </c>
      <c r="S31" s="55">
        <f>(IF(COUNTIF(JF,Horaires356734512[[#This Row],[Date]]),MAX(0,MIN(fin_dimJF,Horaires356734512[[#This Row],[Fin corrigée si nuit]])-MAX(deb_dimJF,Horaires356734512[[#This Row],[début]])),0)+IF(COUNTIF(JF,Horaires356734512[[#This Row],[Date]]+1),MAX(0,Horaires356734512[[#This Row],[Fin corrigée si nuit]]-(1+deb_dimJF)),0))*24-
(IF(COUNTIF(JF,Horaires356734512[[#This Row],[Date]]),MAX(0,MIN(fin_dimJF,Horaires356734512[[#This Row],[PNP Fin corrigée]])-MAX(deb_dimJF,Horaires356734512[[#This Row],[PNP Début corrigé]])),0)+IF(COUNTIF(JF,Horaires356734512[[#This Row],[Date]]+1),MAX(0,Horaires356734512[[#This Row],[PNP Fin corrigée]]-(1+deb_dimJF)),0))*24</f>
        <v>0</v>
      </c>
    </row>
    <row r="32" spans="1:19" ht="14.5" customHeight="1" x14ac:dyDescent="0.35">
      <c r="A32" s="5"/>
      <c r="B32" s="1"/>
      <c r="C32" s="2"/>
      <c r="D32" s="2"/>
      <c r="E32" s="3"/>
      <c r="F32" s="3"/>
      <c r="G32" s="3"/>
      <c r="H32" s="3"/>
      <c r="I32" s="51">
        <f>0.1*(Horaires356734512[[#This Row],[Heures de nuit]]+Horaires356734512[[#This Row],[heures jour dimanche]]+Horaires356734512[[#This Row],[heures jour fériés]])</f>
        <v>0</v>
      </c>
      <c r="J32" s="52">
        <f>(MOD(Horaires356734512[[#This Row],[Fin]]-Horaires356734512[[#This Row],[début]],1)-MOD(Horaires356734512[[#This Row],[PNP Fin]]-Horaires356734512[[#This Row],[PNP Début]],1))*24</f>
        <v>0</v>
      </c>
      <c r="K32" s="53">
        <f>IF(Horaires356734512[[#This Row],[PNP Début]]=0,0,IF(Horaires356734512[[#This Row],[PNP Début]]&lt;Horaires356734512[[#This Row],[début]],1,0)+Horaires356734512[[#This Row],[PNP Début]])</f>
        <v>0</v>
      </c>
      <c r="L32" s="54">
        <f>IF(Horaires356734512[[#This Row],[PNP Fin]]=0,0,IF(Horaires356734512[[#This Row],[PNP Fin]]&lt;Horaires356734512[[#This Row],[début]],1,0)+Horaires356734512[[#This Row],[PNP Fin]])</f>
        <v>0</v>
      </c>
      <c r="M32" s="54">
        <f>IF(Horaires356734512[[#This Row],[Fin]]&lt;Horaires356734512[[#This Row],[début]],1,0)+Horaires356734512[[#This Row],[Fin]]</f>
        <v>0</v>
      </c>
      <c r="N32" s="35">
        <f>IF(Horaires356734512[[#This Row],[Fin]]&lt;Horaires356734512[[#This Row],[début]],MAX(0,MIN(Horaires356734512[[#This Row],[Fin corrigée si nuit]],fin_nuit)-MAX(Horaires356734512[[#This Row],[début]],deb_nuit))*24,(MAX(deb_nuit,Horaires356734512[[#This Row],[Fin]])-MAX(deb_nuit,Horaires356734512[[#This Row],[début]])+MAX(MIN(fin_nuit-1,Horaires356734512[[#This Row],[Fin]])-MIN(fin_nuit-1,Horaires356734512[[#This Row],[début]]),0))*24)</f>
        <v>0</v>
      </c>
      <c r="O32" s="55">
        <f>(MAX(0,MIN(Horaires356734512[[#This Row],[Fin corrigée si nuit]],fin_nuit)-MAX(Horaires356734512[[#This Row],[début]],deb_nuit))-IF(Horaires356734512[[#This Row],[PNP Début]]=0,0,MIN(Horaires356734512[[#This Row],[PNP Fin corrigée]],fin_nuit)-MAX(Horaires356734512[[#This Row],[PNP Début corrigé]],deb_nuit)))*24</f>
        <v>0</v>
      </c>
      <c r="P32" s="55">
        <f>(IF(WEEKDAY(Horaires356734512[[#This Row],[Date]],2)=7,MAX(0,MIN(fin_dimJF,Horaires356734512[[#This Row],[Fin corrigée si nuit]])-MAX(deb_dimJF,Horaires356734512[[#This Row],[début]])),0)+IF(WEEKDAY(Horaires356734512[[#This Row],[Date]],2)=6,MAX(0,Horaires356734512[[#This Row],[Fin corrigée si nuit]]-(1+deb_dimJF)),0))*24</f>
        <v>0</v>
      </c>
      <c r="Q32" s="55">
        <f>(IF(WEEKDAY(Horaires356734512[[#This Row],[Date]],2)=7,MAX(0,MIN(fin_dimJF,Horaires356734512[[#This Row],[Fin corrigée si nuit]])-MAX(deb_dimJF,Horaires356734512[[#This Row],[début]])),0)+IF(WEEKDAY(Horaires356734512[[#This Row],[Date]],2)=6,MAX(0,Horaires356734512[[#This Row],[Fin corrigée si nuit]]-(1+deb_dimJF)),0))*24-
(IF(WEEKDAY(Horaires356734512[[#This Row],[Date]],2)=7,MAX(0,MIN(fin_dimJF,Horaires356734512[[#This Row],[PNP Fin corrigée]])-MAX(deb_dimJF,Horaires356734512[[#This Row],[PNP Début corrigé]])),0)+IF(WEEKDAY(Horaires356734512[[#This Row],[Date]],2)=6,MAX(0,Horaires356734512[[#This Row],[PNP Fin corrigée]]-(1+deb_dimJF)),0))*24</f>
        <v>0</v>
      </c>
      <c r="R32" s="55">
        <f>(IF(COUNTIF(JF,Horaires356734512[[#This Row],[Date]]),MAX(0,MIN(fin_dimJF,Horaires356734512[[#This Row],[Fin corrigée si nuit]])-MAX(deb_dimJF,Horaires356734512[[#This Row],[début]])),0)+IF(COUNTIF(JF,Horaires356734512[[#This Row],[Date]]+1),MAX(0,Horaires356734512[[#This Row],[Fin corrigée si nuit]]-(1+deb_dimJF)),0))*24</f>
        <v>0</v>
      </c>
      <c r="S32" s="55">
        <f>(IF(COUNTIF(JF,Horaires356734512[[#This Row],[Date]]),MAX(0,MIN(fin_dimJF,Horaires356734512[[#This Row],[Fin corrigée si nuit]])-MAX(deb_dimJF,Horaires356734512[[#This Row],[début]])),0)+IF(COUNTIF(JF,Horaires356734512[[#This Row],[Date]]+1),MAX(0,Horaires356734512[[#This Row],[Fin corrigée si nuit]]-(1+deb_dimJF)),0))*24-
(IF(COUNTIF(JF,Horaires356734512[[#This Row],[Date]]),MAX(0,MIN(fin_dimJF,Horaires356734512[[#This Row],[PNP Fin corrigée]])-MAX(deb_dimJF,Horaires356734512[[#This Row],[PNP Début corrigé]])),0)+IF(COUNTIF(JF,Horaires356734512[[#This Row],[Date]]+1),MAX(0,Horaires356734512[[#This Row],[PNP Fin corrigée]]-(1+deb_dimJF)),0))*24</f>
        <v>0</v>
      </c>
    </row>
    <row r="33" spans="1:19" x14ac:dyDescent="0.35">
      <c r="A33" s="5"/>
      <c r="B33" s="1"/>
      <c r="C33" s="2"/>
      <c r="D33" s="2"/>
      <c r="E33" s="3"/>
      <c r="F33" s="3"/>
      <c r="G33" s="3"/>
      <c r="H33" s="3"/>
      <c r="I33" s="51">
        <f>0.1*(Horaires356734512[[#This Row],[Heures de nuit]]+Horaires356734512[[#This Row],[heures jour dimanche]]+Horaires356734512[[#This Row],[heures jour fériés]])</f>
        <v>0</v>
      </c>
      <c r="J33" s="52">
        <f>(MOD(Horaires356734512[[#This Row],[Fin]]-Horaires356734512[[#This Row],[début]],1)-MOD(Horaires356734512[[#This Row],[PNP Fin]]-Horaires356734512[[#This Row],[PNP Début]],1))*24</f>
        <v>0</v>
      </c>
      <c r="K33" s="53">
        <f>IF(Horaires356734512[[#This Row],[PNP Début]]=0,0,IF(Horaires356734512[[#This Row],[PNP Début]]&lt;Horaires356734512[[#This Row],[début]],1,0)+Horaires356734512[[#This Row],[PNP Début]])</f>
        <v>0</v>
      </c>
      <c r="L33" s="54">
        <f>IF(Horaires356734512[[#This Row],[PNP Fin]]=0,0,IF(Horaires356734512[[#This Row],[PNP Fin]]&lt;Horaires356734512[[#This Row],[début]],1,0)+Horaires356734512[[#This Row],[PNP Fin]])</f>
        <v>0</v>
      </c>
      <c r="M33" s="54">
        <f>IF(Horaires356734512[[#This Row],[Fin]]&lt;Horaires356734512[[#This Row],[début]],1,0)+Horaires356734512[[#This Row],[Fin]]</f>
        <v>0</v>
      </c>
      <c r="N33" s="35">
        <f>IF(Horaires356734512[[#This Row],[Fin]]&lt;Horaires356734512[[#This Row],[début]],MAX(0,MIN(Horaires356734512[[#This Row],[Fin corrigée si nuit]],fin_nuit)-MAX(Horaires356734512[[#This Row],[début]],deb_nuit))*24,(MAX(deb_nuit,Horaires356734512[[#This Row],[Fin]])-MAX(deb_nuit,Horaires356734512[[#This Row],[début]])+MAX(MIN(fin_nuit-1,Horaires356734512[[#This Row],[Fin]])-MIN(fin_nuit-1,Horaires356734512[[#This Row],[début]]),0))*24)</f>
        <v>0</v>
      </c>
      <c r="O33" s="55">
        <f>(MAX(0,MIN(Horaires356734512[[#This Row],[Fin corrigée si nuit]],fin_nuit)-MAX(Horaires356734512[[#This Row],[début]],deb_nuit))-IF(Horaires356734512[[#This Row],[PNP Début]]=0,0,MIN(Horaires356734512[[#This Row],[PNP Fin corrigée]],fin_nuit)-MAX(Horaires356734512[[#This Row],[PNP Début corrigé]],deb_nuit)))*24</f>
        <v>0</v>
      </c>
      <c r="P33" s="55">
        <f>(IF(WEEKDAY(Horaires356734512[[#This Row],[Date]],2)=7,MAX(0,MIN(fin_dimJF,Horaires356734512[[#This Row],[Fin corrigée si nuit]])-MAX(deb_dimJF,Horaires356734512[[#This Row],[début]])),0)+IF(WEEKDAY(Horaires356734512[[#This Row],[Date]],2)=6,MAX(0,Horaires356734512[[#This Row],[Fin corrigée si nuit]]-(1+deb_dimJF)),0))*24</f>
        <v>0</v>
      </c>
      <c r="Q33" s="55">
        <f>(IF(WEEKDAY(Horaires356734512[[#This Row],[Date]],2)=7,MAX(0,MIN(fin_dimJF,Horaires356734512[[#This Row],[Fin corrigée si nuit]])-MAX(deb_dimJF,Horaires356734512[[#This Row],[début]])),0)+IF(WEEKDAY(Horaires356734512[[#This Row],[Date]],2)=6,MAX(0,Horaires356734512[[#This Row],[Fin corrigée si nuit]]-(1+deb_dimJF)),0))*24-
(IF(WEEKDAY(Horaires356734512[[#This Row],[Date]],2)=7,MAX(0,MIN(fin_dimJF,Horaires356734512[[#This Row],[PNP Fin corrigée]])-MAX(deb_dimJF,Horaires356734512[[#This Row],[PNP Début corrigé]])),0)+IF(WEEKDAY(Horaires356734512[[#This Row],[Date]],2)=6,MAX(0,Horaires356734512[[#This Row],[PNP Fin corrigée]]-(1+deb_dimJF)),0))*24</f>
        <v>0</v>
      </c>
      <c r="R33" s="55">
        <f>(IF(COUNTIF(JF,Horaires356734512[[#This Row],[Date]]),MAX(0,MIN(fin_dimJF,Horaires356734512[[#This Row],[Fin corrigée si nuit]])-MAX(deb_dimJF,Horaires356734512[[#This Row],[début]])),0)+IF(COUNTIF(JF,Horaires356734512[[#This Row],[Date]]+1),MAX(0,Horaires356734512[[#This Row],[Fin corrigée si nuit]]-(1+deb_dimJF)),0))*24</f>
        <v>0</v>
      </c>
      <c r="S33" s="55">
        <f>(IF(COUNTIF(JF,Horaires356734512[[#This Row],[Date]]),MAX(0,MIN(fin_dimJF,Horaires356734512[[#This Row],[Fin corrigée si nuit]])-MAX(deb_dimJF,Horaires356734512[[#This Row],[début]])),0)+IF(COUNTIF(JF,Horaires356734512[[#This Row],[Date]]+1),MAX(0,Horaires356734512[[#This Row],[Fin corrigée si nuit]]-(1+deb_dimJF)),0))*24-
(IF(COUNTIF(JF,Horaires356734512[[#This Row],[Date]]),MAX(0,MIN(fin_dimJF,Horaires356734512[[#This Row],[PNP Fin corrigée]])-MAX(deb_dimJF,Horaires356734512[[#This Row],[PNP Début corrigé]])),0)+IF(COUNTIF(JF,Horaires356734512[[#This Row],[Date]]+1),MAX(0,Horaires356734512[[#This Row],[PNP Fin corrigée]]-(1+deb_dimJF)),0))*24</f>
        <v>0</v>
      </c>
    </row>
    <row r="34" spans="1:19" x14ac:dyDescent="0.35">
      <c r="A34" s="5"/>
      <c r="B34" s="1"/>
      <c r="C34" s="2"/>
      <c r="D34" s="2"/>
      <c r="E34" s="3"/>
      <c r="F34" s="3"/>
      <c r="G34" s="3"/>
      <c r="H34" s="3"/>
      <c r="I34" s="51">
        <f>0.1*(Horaires356734512[[#This Row],[Heures de nuit]]+Horaires356734512[[#This Row],[heures jour dimanche]]+Horaires356734512[[#This Row],[heures jour fériés]])</f>
        <v>0</v>
      </c>
      <c r="J34" s="52">
        <f>(MOD(Horaires356734512[[#This Row],[Fin]]-Horaires356734512[[#This Row],[début]],1)-MOD(Horaires356734512[[#This Row],[PNP Fin]]-Horaires356734512[[#This Row],[PNP Début]],1))*24</f>
        <v>0</v>
      </c>
      <c r="K34" s="53">
        <f>IF(Horaires356734512[[#This Row],[PNP Début]]=0,0,IF(Horaires356734512[[#This Row],[PNP Début]]&lt;Horaires356734512[[#This Row],[début]],1,0)+Horaires356734512[[#This Row],[PNP Début]])</f>
        <v>0</v>
      </c>
      <c r="L34" s="54">
        <f>IF(Horaires356734512[[#This Row],[PNP Fin]]=0,0,IF(Horaires356734512[[#This Row],[PNP Fin]]&lt;Horaires356734512[[#This Row],[début]],1,0)+Horaires356734512[[#This Row],[PNP Fin]])</f>
        <v>0</v>
      </c>
      <c r="M34" s="54">
        <f>IF(Horaires356734512[[#This Row],[Fin]]&lt;Horaires356734512[[#This Row],[début]],1,0)+Horaires356734512[[#This Row],[Fin]]</f>
        <v>0</v>
      </c>
      <c r="N34" s="35">
        <f>IF(Horaires356734512[[#This Row],[Fin]]&lt;Horaires356734512[[#This Row],[début]],MAX(0,MIN(Horaires356734512[[#This Row],[Fin corrigée si nuit]],fin_nuit)-MAX(Horaires356734512[[#This Row],[début]],deb_nuit))*24,(MAX(deb_nuit,Horaires356734512[[#This Row],[Fin]])-MAX(deb_nuit,Horaires356734512[[#This Row],[début]])+MAX(MIN(fin_nuit-1,Horaires356734512[[#This Row],[Fin]])-MIN(fin_nuit-1,Horaires356734512[[#This Row],[début]]),0))*24)</f>
        <v>0</v>
      </c>
      <c r="O34" s="55">
        <f>(MAX(0,MIN(Horaires356734512[[#This Row],[Fin corrigée si nuit]],fin_nuit)-MAX(Horaires356734512[[#This Row],[début]],deb_nuit))-IF(Horaires356734512[[#This Row],[PNP Début]]=0,0,MIN(Horaires356734512[[#This Row],[PNP Fin corrigée]],fin_nuit)-MAX(Horaires356734512[[#This Row],[PNP Début corrigé]],deb_nuit)))*24</f>
        <v>0</v>
      </c>
      <c r="P34" s="55">
        <f>(IF(WEEKDAY(Horaires356734512[[#This Row],[Date]],2)=7,MAX(0,MIN(fin_dimJF,Horaires356734512[[#This Row],[Fin corrigée si nuit]])-MAX(deb_dimJF,Horaires356734512[[#This Row],[début]])),0)+IF(WEEKDAY(Horaires356734512[[#This Row],[Date]],2)=6,MAX(0,Horaires356734512[[#This Row],[Fin corrigée si nuit]]-(1+deb_dimJF)),0))*24</f>
        <v>0</v>
      </c>
      <c r="Q34" s="55">
        <f>(IF(WEEKDAY(Horaires356734512[[#This Row],[Date]],2)=7,MAX(0,MIN(fin_dimJF,Horaires356734512[[#This Row],[Fin corrigée si nuit]])-MAX(deb_dimJF,Horaires356734512[[#This Row],[début]])),0)+IF(WEEKDAY(Horaires356734512[[#This Row],[Date]],2)=6,MAX(0,Horaires356734512[[#This Row],[Fin corrigée si nuit]]-(1+deb_dimJF)),0))*24-
(IF(WEEKDAY(Horaires356734512[[#This Row],[Date]],2)=7,MAX(0,MIN(fin_dimJF,Horaires356734512[[#This Row],[PNP Fin corrigée]])-MAX(deb_dimJF,Horaires356734512[[#This Row],[PNP Début corrigé]])),0)+IF(WEEKDAY(Horaires356734512[[#This Row],[Date]],2)=6,MAX(0,Horaires356734512[[#This Row],[PNP Fin corrigée]]-(1+deb_dimJF)),0))*24</f>
        <v>0</v>
      </c>
      <c r="R34" s="55">
        <f>(IF(COUNTIF(JF,Horaires356734512[[#This Row],[Date]]),MAX(0,MIN(fin_dimJF,Horaires356734512[[#This Row],[Fin corrigée si nuit]])-MAX(deb_dimJF,Horaires356734512[[#This Row],[début]])),0)+IF(COUNTIF(JF,Horaires356734512[[#This Row],[Date]]+1),MAX(0,Horaires356734512[[#This Row],[Fin corrigée si nuit]]-(1+deb_dimJF)),0))*24</f>
        <v>0</v>
      </c>
      <c r="S34" s="55">
        <f>(IF(COUNTIF(JF,Horaires356734512[[#This Row],[Date]]),MAX(0,MIN(fin_dimJF,Horaires356734512[[#This Row],[Fin corrigée si nuit]])-MAX(deb_dimJF,Horaires356734512[[#This Row],[début]])),0)+IF(COUNTIF(JF,Horaires356734512[[#This Row],[Date]]+1),MAX(0,Horaires356734512[[#This Row],[Fin corrigée si nuit]]-(1+deb_dimJF)),0))*24-
(IF(COUNTIF(JF,Horaires356734512[[#This Row],[Date]]),MAX(0,MIN(fin_dimJF,Horaires356734512[[#This Row],[PNP Fin corrigée]])-MAX(deb_dimJF,Horaires356734512[[#This Row],[PNP Début corrigé]])),0)+IF(COUNTIF(JF,Horaires356734512[[#This Row],[Date]]+1),MAX(0,Horaires356734512[[#This Row],[PNP Fin corrigée]]-(1+deb_dimJF)),0))*24</f>
        <v>0</v>
      </c>
    </row>
    <row r="35" spans="1:19" x14ac:dyDescent="0.35">
      <c r="A35" s="5"/>
      <c r="B35" s="1"/>
      <c r="C35" s="2"/>
      <c r="D35" s="2"/>
      <c r="E35" s="3"/>
      <c r="F35" s="3"/>
      <c r="G35" s="3"/>
      <c r="H35" s="3"/>
      <c r="I35" s="51">
        <f>0.1*(Horaires356734512[[#This Row],[Heures de nuit]]+Horaires356734512[[#This Row],[heures jour dimanche]]+Horaires356734512[[#This Row],[heures jour fériés]])</f>
        <v>0</v>
      </c>
      <c r="J35" s="52">
        <f>(MOD(Horaires356734512[[#This Row],[Fin]]-Horaires356734512[[#This Row],[début]],1)-MOD(Horaires356734512[[#This Row],[PNP Fin]]-Horaires356734512[[#This Row],[PNP Début]],1))*24</f>
        <v>0</v>
      </c>
      <c r="K35" s="53">
        <f>IF(Horaires356734512[[#This Row],[PNP Début]]=0,0,IF(Horaires356734512[[#This Row],[PNP Début]]&lt;Horaires356734512[[#This Row],[début]],1,0)+Horaires356734512[[#This Row],[PNP Début]])</f>
        <v>0</v>
      </c>
      <c r="L35" s="54">
        <f>IF(Horaires356734512[[#This Row],[PNP Fin]]=0,0,IF(Horaires356734512[[#This Row],[PNP Fin]]&lt;Horaires356734512[[#This Row],[début]],1,0)+Horaires356734512[[#This Row],[PNP Fin]])</f>
        <v>0</v>
      </c>
      <c r="M35" s="54">
        <f>IF(Horaires356734512[[#This Row],[Fin]]&lt;Horaires356734512[[#This Row],[début]],1,0)+Horaires356734512[[#This Row],[Fin]]</f>
        <v>0</v>
      </c>
      <c r="N35" s="35">
        <f>IF(Horaires356734512[[#This Row],[Fin]]&lt;Horaires356734512[[#This Row],[début]],MAX(0,MIN(Horaires356734512[[#This Row],[Fin corrigée si nuit]],fin_nuit)-MAX(Horaires356734512[[#This Row],[début]],deb_nuit))*24,(MAX(deb_nuit,Horaires356734512[[#This Row],[Fin]])-MAX(deb_nuit,Horaires356734512[[#This Row],[début]])+MAX(MIN(fin_nuit-1,Horaires356734512[[#This Row],[Fin]])-MIN(fin_nuit-1,Horaires356734512[[#This Row],[début]]),0))*24)</f>
        <v>0</v>
      </c>
      <c r="O35" s="55">
        <f>(MAX(0,MIN(Horaires356734512[[#This Row],[Fin corrigée si nuit]],fin_nuit)-MAX(Horaires356734512[[#This Row],[début]],deb_nuit))-IF(Horaires356734512[[#This Row],[PNP Début]]=0,0,MIN(Horaires356734512[[#This Row],[PNP Fin corrigée]],fin_nuit)-MAX(Horaires356734512[[#This Row],[PNP Début corrigé]],deb_nuit)))*24</f>
        <v>0</v>
      </c>
      <c r="P35" s="55">
        <f>(IF(WEEKDAY(Horaires356734512[[#This Row],[Date]],2)=7,MAX(0,MIN(fin_dimJF,Horaires356734512[[#This Row],[Fin corrigée si nuit]])-MAX(deb_dimJF,Horaires356734512[[#This Row],[début]])),0)+IF(WEEKDAY(Horaires356734512[[#This Row],[Date]],2)=6,MAX(0,Horaires356734512[[#This Row],[Fin corrigée si nuit]]-(1+deb_dimJF)),0))*24</f>
        <v>0</v>
      </c>
      <c r="Q35" s="55">
        <f>(IF(WEEKDAY(Horaires356734512[[#This Row],[Date]],2)=7,MAX(0,MIN(fin_dimJF,Horaires356734512[[#This Row],[Fin corrigée si nuit]])-MAX(deb_dimJF,Horaires356734512[[#This Row],[début]])),0)+IF(WEEKDAY(Horaires356734512[[#This Row],[Date]],2)=6,MAX(0,Horaires356734512[[#This Row],[Fin corrigée si nuit]]-(1+deb_dimJF)),0))*24-
(IF(WEEKDAY(Horaires356734512[[#This Row],[Date]],2)=7,MAX(0,MIN(fin_dimJF,Horaires356734512[[#This Row],[PNP Fin corrigée]])-MAX(deb_dimJF,Horaires356734512[[#This Row],[PNP Début corrigé]])),0)+IF(WEEKDAY(Horaires356734512[[#This Row],[Date]],2)=6,MAX(0,Horaires356734512[[#This Row],[PNP Fin corrigée]]-(1+deb_dimJF)),0))*24</f>
        <v>0</v>
      </c>
      <c r="R35" s="55">
        <f>(IF(COUNTIF(JF,Horaires356734512[[#This Row],[Date]]),MAX(0,MIN(fin_dimJF,Horaires356734512[[#This Row],[Fin corrigée si nuit]])-MAX(deb_dimJF,Horaires356734512[[#This Row],[début]])),0)+IF(COUNTIF(JF,Horaires356734512[[#This Row],[Date]]+1),MAX(0,Horaires356734512[[#This Row],[Fin corrigée si nuit]]-(1+deb_dimJF)),0))*24</f>
        <v>0</v>
      </c>
      <c r="S35" s="55">
        <f>(IF(COUNTIF(JF,Horaires356734512[[#This Row],[Date]]),MAX(0,MIN(fin_dimJF,Horaires356734512[[#This Row],[Fin corrigée si nuit]])-MAX(deb_dimJF,Horaires356734512[[#This Row],[début]])),0)+IF(COUNTIF(JF,Horaires356734512[[#This Row],[Date]]+1),MAX(0,Horaires356734512[[#This Row],[Fin corrigée si nuit]]-(1+deb_dimJF)),0))*24-
(IF(COUNTIF(JF,Horaires356734512[[#This Row],[Date]]),MAX(0,MIN(fin_dimJF,Horaires356734512[[#This Row],[PNP Fin corrigée]])-MAX(deb_dimJF,Horaires356734512[[#This Row],[PNP Début corrigé]])),0)+IF(COUNTIF(JF,Horaires356734512[[#This Row],[Date]]+1),MAX(0,Horaires356734512[[#This Row],[PNP Fin corrigée]]-(1+deb_dimJF)),0))*24</f>
        <v>0</v>
      </c>
    </row>
    <row r="36" spans="1:19" x14ac:dyDescent="0.35">
      <c r="A36" s="5"/>
      <c r="B36" s="1"/>
      <c r="C36" s="2"/>
      <c r="D36" s="2"/>
      <c r="E36" s="3"/>
      <c r="F36" s="3"/>
      <c r="G36" s="3"/>
      <c r="H36" s="3"/>
      <c r="I36" s="51">
        <f>0.1*(Horaires356734512[[#This Row],[Heures de nuit]]+Horaires356734512[[#This Row],[heures jour dimanche]]+Horaires356734512[[#This Row],[heures jour fériés]])</f>
        <v>0</v>
      </c>
      <c r="J36" s="52">
        <f>(MOD(Horaires356734512[[#This Row],[Fin]]-Horaires356734512[[#This Row],[début]],1)-MOD(Horaires356734512[[#This Row],[PNP Fin]]-Horaires356734512[[#This Row],[PNP Début]],1))*24</f>
        <v>0</v>
      </c>
      <c r="K36" s="53">
        <f>IF(Horaires356734512[[#This Row],[PNP Début]]=0,0,IF(Horaires356734512[[#This Row],[PNP Début]]&lt;Horaires356734512[[#This Row],[début]],1,0)+Horaires356734512[[#This Row],[PNP Début]])</f>
        <v>0</v>
      </c>
      <c r="L36" s="54">
        <f>IF(Horaires356734512[[#This Row],[PNP Fin]]=0,0,IF(Horaires356734512[[#This Row],[PNP Fin]]&lt;Horaires356734512[[#This Row],[début]],1,0)+Horaires356734512[[#This Row],[PNP Fin]])</f>
        <v>0</v>
      </c>
      <c r="M36" s="54">
        <f>IF(Horaires356734512[[#This Row],[Fin]]&lt;Horaires356734512[[#This Row],[début]],1,0)+Horaires356734512[[#This Row],[Fin]]</f>
        <v>0</v>
      </c>
      <c r="N36" s="35">
        <f>IF(Horaires356734512[[#This Row],[Fin]]&lt;Horaires356734512[[#This Row],[début]],MAX(0,MIN(Horaires356734512[[#This Row],[Fin corrigée si nuit]],fin_nuit)-MAX(Horaires356734512[[#This Row],[début]],deb_nuit))*24,(MAX(deb_nuit,Horaires356734512[[#This Row],[Fin]])-MAX(deb_nuit,Horaires356734512[[#This Row],[début]])+MAX(MIN(fin_nuit-1,Horaires356734512[[#This Row],[Fin]])-MIN(fin_nuit-1,Horaires356734512[[#This Row],[début]]),0))*24)</f>
        <v>0</v>
      </c>
      <c r="O36" s="55">
        <f>(MAX(0,MIN(Horaires356734512[[#This Row],[Fin corrigée si nuit]],fin_nuit)-MAX(Horaires356734512[[#This Row],[début]],deb_nuit))-IF(Horaires356734512[[#This Row],[PNP Début]]=0,0,MIN(Horaires356734512[[#This Row],[PNP Fin corrigée]],fin_nuit)-MAX(Horaires356734512[[#This Row],[PNP Début corrigé]],deb_nuit)))*24</f>
        <v>0</v>
      </c>
      <c r="P36" s="55">
        <f>(IF(WEEKDAY(Horaires356734512[[#This Row],[Date]],2)=7,MAX(0,MIN(fin_dimJF,Horaires356734512[[#This Row],[Fin corrigée si nuit]])-MAX(deb_dimJF,Horaires356734512[[#This Row],[début]])),0)+IF(WEEKDAY(Horaires356734512[[#This Row],[Date]],2)=6,MAX(0,Horaires356734512[[#This Row],[Fin corrigée si nuit]]-(1+deb_dimJF)),0))*24</f>
        <v>0</v>
      </c>
      <c r="Q36" s="55">
        <f>(IF(WEEKDAY(Horaires356734512[[#This Row],[Date]],2)=7,MAX(0,MIN(fin_dimJF,Horaires356734512[[#This Row],[Fin corrigée si nuit]])-MAX(deb_dimJF,Horaires356734512[[#This Row],[début]])),0)+IF(WEEKDAY(Horaires356734512[[#This Row],[Date]],2)=6,MAX(0,Horaires356734512[[#This Row],[Fin corrigée si nuit]]-(1+deb_dimJF)),0))*24-
(IF(WEEKDAY(Horaires356734512[[#This Row],[Date]],2)=7,MAX(0,MIN(fin_dimJF,Horaires356734512[[#This Row],[PNP Fin corrigée]])-MAX(deb_dimJF,Horaires356734512[[#This Row],[PNP Début corrigé]])),0)+IF(WEEKDAY(Horaires356734512[[#This Row],[Date]],2)=6,MAX(0,Horaires356734512[[#This Row],[PNP Fin corrigée]]-(1+deb_dimJF)),0))*24</f>
        <v>0</v>
      </c>
      <c r="R36" s="55">
        <f>(IF(COUNTIF(JF,Horaires356734512[[#This Row],[Date]]),MAX(0,MIN(fin_dimJF,Horaires356734512[[#This Row],[Fin corrigée si nuit]])-MAX(deb_dimJF,Horaires356734512[[#This Row],[début]])),0)+IF(COUNTIF(JF,Horaires356734512[[#This Row],[Date]]+1),MAX(0,Horaires356734512[[#This Row],[Fin corrigée si nuit]]-(1+deb_dimJF)),0))*24</f>
        <v>0</v>
      </c>
      <c r="S36" s="55">
        <f>(IF(COUNTIF(JF,Horaires356734512[[#This Row],[Date]]),MAX(0,MIN(fin_dimJF,Horaires356734512[[#This Row],[Fin corrigée si nuit]])-MAX(deb_dimJF,Horaires356734512[[#This Row],[début]])),0)+IF(COUNTIF(JF,Horaires356734512[[#This Row],[Date]]+1),MAX(0,Horaires356734512[[#This Row],[Fin corrigée si nuit]]-(1+deb_dimJF)),0))*24-
(IF(COUNTIF(JF,Horaires356734512[[#This Row],[Date]]),MAX(0,MIN(fin_dimJF,Horaires356734512[[#This Row],[PNP Fin corrigée]])-MAX(deb_dimJF,Horaires356734512[[#This Row],[PNP Début corrigé]])),0)+IF(COUNTIF(JF,Horaires356734512[[#This Row],[Date]]+1),MAX(0,Horaires356734512[[#This Row],[PNP Fin corrigée]]-(1+deb_dimJF)),0))*24</f>
        <v>0</v>
      </c>
    </row>
    <row r="37" spans="1:19" x14ac:dyDescent="0.35">
      <c r="A37" s="5"/>
      <c r="B37" s="1"/>
      <c r="C37" s="2"/>
      <c r="D37" s="2"/>
      <c r="E37" s="3"/>
      <c r="F37" s="3"/>
      <c r="G37" s="3"/>
      <c r="H37" s="3"/>
      <c r="I37" s="51">
        <f>0.1*(Horaires356734512[[#This Row],[Heures de nuit]]+Horaires356734512[[#This Row],[heures jour dimanche]]+Horaires356734512[[#This Row],[heures jour fériés]])</f>
        <v>0</v>
      </c>
      <c r="J37" s="52">
        <f>(MOD(Horaires356734512[[#This Row],[Fin]]-Horaires356734512[[#This Row],[début]],1)-MOD(Horaires356734512[[#This Row],[PNP Fin]]-Horaires356734512[[#This Row],[PNP Début]],1))*24</f>
        <v>0</v>
      </c>
      <c r="K37" s="53">
        <f>IF(Horaires356734512[[#This Row],[PNP Début]]=0,0,IF(Horaires356734512[[#This Row],[PNP Début]]&lt;Horaires356734512[[#This Row],[début]],1,0)+Horaires356734512[[#This Row],[PNP Début]])</f>
        <v>0</v>
      </c>
      <c r="L37" s="54">
        <f>IF(Horaires356734512[[#This Row],[PNP Fin]]=0,0,IF(Horaires356734512[[#This Row],[PNP Fin]]&lt;Horaires356734512[[#This Row],[début]],1,0)+Horaires356734512[[#This Row],[PNP Fin]])</f>
        <v>0</v>
      </c>
      <c r="M37" s="54">
        <f>IF(Horaires356734512[[#This Row],[Fin]]&lt;Horaires356734512[[#This Row],[début]],1,0)+Horaires356734512[[#This Row],[Fin]]</f>
        <v>0</v>
      </c>
      <c r="N37" s="35">
        <f>IF(Horaires356734512[[#This Row],[Fin]]&lt;Horaires356734512[[#This Row],[début]],MAX(0,MIN(Horaires356734512[[#This Row],[Fin corrigée si nuit]],fin_nuit)-MAX(Horaires356734512[[#This Row],[début]],deb_nuit))*24,(MAX(deb_nuit,Horaires356734512[[#This Row],[Fin]])-MAX(deb_nuit,Horaires356734512[[#This Row],[début]])+MAX(MIN(fin_nuit-1,Horaires356734512[[#This Row],[Fin]])-MIN(fin_nuit-1,Horaires356734512[[#This Row],[début]]),0))*24)</f>
        <v>0</v>
      </c>
      <c r="O37" s="55">
        <f>(MAX(0,MIN(Horaires356734512[[#This Row],[Fin corrigée si nuit]],fin_nuit)-MAX(Horaires356734512[[#This Row],[début]],deb_nuit))-IF(Horaires356734512[[#This Row],[PNP Début]]=0,0,MIN(Horaires356734512[[#This Row],[PNP Fin corrigée]],fin_nuit)-MAX(Horaires356734512[[#This Row],[PNP Début corrigé]],deb_nuit)))*24</f>
        <v>0</v>
      </c>
      <c r="P37" s="55">
        <f>(IF(WEEKDAY(Horaires356734512[[#This Row],[Date]],2)=7,MAX(0,MIN(fin_dimJF,Horaires356734512[[#This Row],[Fin corrigée si nuit]])-MAX(deb_dimJF,Horaires356734512[[#This Row],[début]])),0)+IF(WEEKDAY(Horaires356734512[[#This Row],[Date]],2)=6,MAX(0,Horaires356734512[[#This Row],[Fin corrigée si nuit]]-(1+deb_dimJF)),0))*24</f>
        <v>0</v>
      </c>
      <c r="Q37" s="55">
        <f>(IF(WEEKDAY(Horaires356734512[[#This Row],[Date]],2)=7,MAX(0,MIN(fin_dimJF,Horaires356734512[[#This Row],[Fin corrigée si nuit]])-MAX(deb_dimJF,Horaires356734512[[#This Row],[début]])),0)+IF(WEEKDAY(Horaires356734512[[#This Row],[Date]],2)=6,MAX(0,Horaires356734512[[#This Row],[Fin corrigée si nuit]]-(1+deb_dimJF)),0))*24-
(IF(WEEKDAY(Horaires356734512[[#This Row],[Date]],2)=7,MAX(0,MIN(fin_dimJF,Horaires356734512[[#This Row],[PNP Fin corrigée]])-MAX(deb_dimJF,Horaires356734512[[#This Row],[PNP Début corrigé]])),0)+IF(WEEKDAY(Horaires356734512[[#This Row],[Date]],2)=6,MAX(0,Horaires356734512[[#This Row],[PNP Fin corrigée]]-(1+deb_dimJF)),0))*24</f>
        <v>0</v>
      </c>
      <c r="R37" s="55">
        <f>(IF(COUNTIF(JF,Horaires356734512[[#This Row],[Date]]),MAX(0,MIN(fin_dimJF,Horaires356734512[[#This Row],[Fin corrigée si nuit]])-MAX(deb_dimJF,Horaires356734512[[#This Row],[début]])),0)+IF(COUNTIF(JF,Horaires356734512[[#This Row],[Date]]+1),MAX(0,Horaires356734512[[#This Row],[Fin corrigée si nuit]]-(1+deb_dimJF)),0))*24</f>
        <v>0</v>
      </c>
      <c r="S37" s="55">
        <f>(IF(COUNTIF(JF,Horaires356734512[[#This Row],[Date]]),MAX(0,MIN(fin_dimJF,Horaires356734512[[#This Row],[Fin corrigée si nuit]])-MAX(deb_dimJF,Horaires356734512[[#This Row],[début]])),0)+IF(COUNTIF(JF,Horaires356734512[[#This Row],[Date]]+1),MAX(0,Horaires356734512[[#This Row],[Fin corrigée si nuit]]-(1+deb_dimJF)),0))*24-
(IF(COUNTIF(JF,Horaires356734512[[#This Row],[Date]]),MAX(0,MIN(fin_dimJF,Horaires356734512[[#This Row],[PNP Fin corrigée]])-MAX(deb_dimJF,Horaires356734512[[#This Row],[PNP Début corrigé]])),0)+IF(COUNTIF(JF,Horaires356734512[[#This Row],[Date]]+1),MAX(0,Horaires356734512[[#This Row],[PNP Fin corrigée]]-(1+deb_dimJF)),0))*24</f>
        <v>0</v>
      </c>
    </row>
    <row r="38" spans="1:19" x14ac:dyDescent="0.35">
      <c r="A38" s="5"/>
      <c r="B38" s="1"/>
      <c r="C38" s="2"/>
      <c r="D38" s="2"/>
      <c r="E38" s="3"/>
      <c r="F38" s="3"/>
      <c r="G38" s="3"/>
      <c r="H38" s="3"/>
      <c r="I38" s="51">
        <f>0.1*(Horaires356734512[[#This Row],[Heures de nuit]]+Horaires356734512[[#This Row],[heures jour dimanche]]+Horaires356734512[[#This Row],[heures jour fériés]])</f>
        <v>0</v>
      </c>
      <c r="J38" s="52">
        <f>(MOD(Horaires356734512[[#This Row],[Fin]]-Horaires356734512[[#This Row],[début]],1)-MOD(Horaires356734512[[#This Row],[PNP Fin]]-Horaires356734512[[#This Row],[PNP Début]],1))*24</f>
        <v>0</v>
      </c>
      <c r="K38" s="53">
        <f>IF(Horaires356734512[[#This Row],[PNP Début]]=0,0,IF(Horaires356734512[[#This Row],[PNP Début]]&lt;Horaires356734512[[#This Row],[début]],1,0)+Horaires356734512[[#This Row],[PNP Début]])</f>
        <v>0</v>
      </c>
      <c r="L38" s="54">
        <f>IF(Horaires356734512[[#This Row],[PNP Fin]]=0,0,IF(Horaires356734512[[#This Row],[PNP Fin]]&lt;Horaires356734512[[#This Row],[début]],1,0)+Horaires356734512[[#This Row],[PNP Fin]])</f>
        <v>0</v>
      </c>
      <c r="M38" s="54">
        <f>IF(Horaires356734512[[#This Row],[Fin]]&lt;Horaires356734512[[#This Row],[début]],1,0)+Horaires356734512[[#This Row],[Fin]]</f>
        <v>0</v>
      </c>
      <c r="N38" s="35">
        <f>IF(Horaires356734512[[#This Row],[Fin]]&lt;Horaires356734512[[#This Row],[début]],MAX(0,MIN(Horaires356734512[[#This Row],[Fin corrigée si nuit]],fin_nuit)-MAX(Horaires356734512[[#This Row],[début]],deb_nuit))*24,(MAX(deb_nuit,Horaires356734512[[#This Row],[Fin]])-MAX(deb_nuit,Horaires356734512[[#This Row],[début]])+MAX(MIN(fin_nuit-1,Horaires356734512[[#This Row],[Fin]])-MIN(fin_nuit-1,Horaires356734512[[#This Row],[début]]),0))*24)</f>
        <v>0</v>
      </c>
      <c r="O38" s="55">
        <f>(MAX(0,MIN(Horaires356734512[[#This Row],[Fin corrigée si nuit]],fin_nuit)-MAX(Horaires356734512[[#This Row],[début]],deb_nuit))-IF(Horaires356734512[[#This Row],[PNP Début]]=0,0,MIN(Horaires356734512[[#This Row],[PNP Fin corrigée]],fin_nuit)-MAX(Horaires356734512[[#This Row],[PNP Début corrigé]],deb_nuit)))*24</f>
        <v>0</v>
      </c>
      <c r="P38" s="55">
        <f>(IF(WEEKDAY(Horaires356734512[[#This Row],[Date]],2)=7,MAX(0,MIN(fin_dimJF,Horaires356734512[[#This Row],[Fin corrigée si nuit]])-MAX(deb_dimJF,Horaires356734512[[#This Row],[début]])),0)+IF(WEEKDAY(Horaires356734512[[#This Row],[Date]],2)=6,MAX(0,Horaires356734512[[#This Row],[Fin corrigée si nuit]]-(1+deb_dimJF)),0))*24</f>
        <v>0</v>
      </c>
      <c r="Q38" s="55">
        <f>(IF(WEEKDAY(Horaires356734512[[#This Row],[Date]],2)=7,MAX(0,MIN(fin_dimJF,Horaires356734512[[#This Row],[Fin corrigée si nuit]])-MAX(deb_dimJF,Horaires356734512[[#This Row],[début]])),0)+IF(WEEKDAY(Horaires356734512[[#This Row],[Date]],2)=6,MAX(0,Horaires356734512[[#This Row],[Fin corrigée si nuit]]-(1+deb_dimJF)),0))*24-
(IF(WEEKDAY(Horaires356734512[[#This Row],[Date]],2)=7,MAX(0,MIN(fin_dimJF,Horaires356734512[[#This Row],[PNP Fin corrigée]])-MAX(deb_dimJF,Horaires356734512[[#This Row],[PNP Début corrigé]])),0)+IF(WEEKDAY(Horaires356734512[[#This Row],[Date]],2)=6,MAX(0,Horaires356734512[[#This Row],[PNP Fin corrigée]]-(1+deb_dimJF)),0))*24</f>
        <v>0</v>
      </c>
      <c r="R38" s="55">
        <f>(IF(COUNTIF(JF,Horaires356734512[[#This Row],[Date]]),MAX(0,MIN(fin_dimJF,Horaires356734512[[#This Row],[Fin corrigée si nuit]])-MAX(deb_dimJF,Horaires356734512[[#This Row],[début]])),0)+IF(COUNTIF(JF,Horaires356734512[[#This Row],[Date]]+1),MAX(0,Horaires356734512[[#This Row],[Fin corrigée si nuit]]-(1+deb_dimJF)),0))*24</f>
        <v>0</v>
      </c>
      <c r="S38" s="55">
        <f>(IF(COUNTIF(JF,Horaires356734512[[#This Row],[Date]]),MAX(0,MIN(fin_dimJF,Horaires356734512[[#This Row],[Fin corrigée si nuit]])-MAX(deb_dimJF,Horaires356734512[[#This Row],[début]])),0)+IF(COUNTIF(JF,Horaires356734512[[#This Row],[Date]]+1),MAX(0,Horaires356734512[[#This Row],[Fin corrigée si nuit]]-(1+deb_dimJF)),0))*24-
(IF(COUNTIF(JF,Horaires356734512[[#This Row],[Date]]),MAX(0,MIN(fin_dimJF,Horaires356734512[[#This Row],[PNP Fin corrigée]])-MAX(deb_dimJF,Horaires356734512[[#This Row],[PNP Début corrigé]])),0)+IF(COUNTIF(JF,Horaires356734512[[#This Row],[Date]]+1),MAX(0,Horaires356734512[[#This Row],[PNP Fin corrigée]]-(1+deb_dimJF)),0))*24</f>
        <v>0</v>
      </c>
    </row>
    <row r="39" spans="1:19" x14ac:dyDescent="0.35">
      <c r="A39" s="5"/>
      <c r="B39" s="1"/>
      <c r="C39" s="2"/>
      <c r="D39" s="2"/>
      <c r="E39" s="3"/>
      <c r="F39" s="3"/>
      <c r="G39" s="3"/>
      <c r="H39" s="3"/>
      <c r="I39" s="51">
        <f>0.1*(Horaires356734512[[#This Row],[Heures de nuit]]+Horaires356734512[[#This Row],[heures jour dimanche]]+Horaires356734512[[#This Row],[heures jour fériés]])</f>
        <v>0</v>
      </c>
      <c r="J39" s="52">
        <f>(MOD(Horaires356734512[[#This Row],[Fin]]-Horaires356734512[[#This Row],[début]],1)-MOD(Horaires356734512[[#This Row],[PNP Fin]]-Horaires356734512[[#This Row],[PNP Début]],1))*24</f>
        <v>0</v>
      </c>
      <c r="K39" s="53">
        <f>IF(Horaires356734512[[#This Row],[PNP Début]]=0,0,IF(Horaires356734512[[#This Row],[PNP Début]]&lt;Horaires356734512[[#This Row],[début]],1,0)+Horaires356734512[[#This Row],[PNP Début]])</f>
        <v>0</v>
      </c>
      <c r="L39" s="54">
        <f>IF(Horaires356734512[[#This Row],[PNP Fin]]=0,0,IF(Horaires356734512[[#This Row],[PNP Fin]]&lt;Horaires356734512[[#This Row],[début]],1,0)+Horaires356734512[[#This Row],[PNP Fin]])</f>
        <v>0</v>
      </c>
      <c r="M39" s="54">
        <f>IF(Horaires356734512[[#This Row],[Fin]]&lt;Horaires356734512[[#This Row],[début]],1,0)+Horaires356734512[[#This Row],[Fin]]</f>
        <v>0</v>
      </c>
      <c r="N39" s="35">
        <f>IF(Horaires356734512[[#This Row],[Fin]]&lt;Horaires356734512[[#This Row],[début]],MAX(0,MIN(Horaires356734512[[#This Row],[Fin corrigée si nuit]],fin_nuit)-MAX(Horaires356734512[[#This Row],[début]],deb_nuit))*24,(MAX(deb_nuit,Horaires356734512[[#This Row],[Fin]])-MAX(deb_nuit,Horaires356734512[[#This Row],[début]])+MAX(MIN(fin_nuit-1,Horaires356734512[[#This Row],[Fin]])-MIN(fin_nuit-1,Horaires356734512[[#This Row],[début]]),0))*24)</f>
        <v>0</v>
      </c>
      <c r="O39" s="55">
        <f>(MAX(0,MIN(Horaires356734512[[#This Row],[Fin corrigée si nuit]],fin_nuit)-MAX(Horaires356734512[[#This Row],[début]],deb_nuit))-IF(Horaires356734512[[#This Row],[PNP Début]]=0,0,MIN(Horaires356734512[[#This Row],[PNP Fin corrigée]],fin_nuit)-MAX(Horaires356734512[[#This Row],[PNP Début corrigé]],deb_nuit)))*24</f>
        <v>0</v>
      </c>
      <c r="P39" s="55">
        <f>(IF(WEEKDAY(Horaires356734512[[#This Row],[Date]],2)=7,MAX(0,MIN(fin_dimJF,Horaires356734512[[#This Row],[Fin corrigée si nuit]])-MAX(deb_dimJF,Horaires356734512[[#This Row],[début]])),0)+IF(WEEKDAY(Horaires356734512[[#This Row],[Date]],2)=6,MAX(0,Horaires356734512[[#This Row],[Fin corrigée si nuit]]-(1+deb_dimJF)),0))*24</f>
        <v>0</v>
      </c>
      <c r="Q39" s="55">
        <f>(IF(WEEKDAY(Horaires356734512[[#This Row],[Date]],2)=7,MAX(0,MIN(fin_dimJF,Horaires356734512[[#This Row],[Fin corrigée si nuit]])-MAX(deb_dimJF,Horaires356734512[[#This Row],[début]])),0)+IF(WEEKDAY(Horaires356734512[[#This Row],[Date]],2)=6,MAX(0,Horaires356734512[[#This Row],[Fin corrigée si nuit]]-(1+deb_dimJF)),0))*24-
(IF(WEEKDAY(Horaires356734512[[#This Row],[Date]],2)=7,MAX(0,MIN(fin_dimJF,Horaires356734512[[#This Row],[PNP Fin corrigée]])-MAX(deb_dimJF,Horaires356734512[[#This Row],[PNP Début corrigé]])),0)+IF(WEEKDAY(Horaires356734512[[#This Row],[Date]],2)=6,MAX(0,Horaires356734512[[#This Row],[PNP Fin corrigée]]-(1+deb_dimJF)),0))*24</f>
        <v>0</v>
      </c>
      <c r="R39" s="55">
        <f>(IF(COUNTIF(JF,Horaires356734512[[#This Row],[Date]]),MAX(0,MIN(fin_dimJF,Horaires356734512[[#This Row],[Fin corrigée si nuit]])-MAX(deb_dimJF,Horaires356734512[[#This Row],[début]])),0)+IF(COUNTIF(JF,Horaires356734512[[#This Row],[Date]]+1),MAX(0,Horaires356734512[[#This Row],[Fin corrigée si nuit]]-(1+deb_dimJF)),0))*24</f>
        <v>0</v>
      </c>
      <c r="S39" s="55">
        <f>(IF(COUNTIF(JF,Horaires356734512[[#This Row],[Date]]),MAX(0,MIN(fin_dimJF,Horaires356734512[[#This Row],[Fin corrigée si nuit]])-MAX(deb_dimJF,Horaires356734512[[#This Row],[début]])),0)+IF(COUNTIF(JF,Horaires356734512[[#This Row],[Date]]+1),MAX(0,Horaires356734512[[#This Row],[Fin corrigée si nuit]]-(1+deb_dimJF)),0))*24-
(IF(COUNTIF(JF,Horaires356734512[[#This Row],[Date]]),MAX(0,MIN(fin_dimJF,Horaires356734512[[#This Row],[PNP Fin corrigée]])-MAX(deb_dimJF,Horaires356734512[[#This Row],[PNP Début corrigé]])),0)+IF(COUNTIF(JF,Horaires356734512[[#This Row],[Date]]+1),MAX(0,Horaires356734512[[#This Row],[PNP Fin corrigée]]-(1+deb_dimJF)),0))*24</f>
        <v>0</v>
      </c>
    </row>
    <row r="40" spans="1:19" x14ac:dyDescent="0.35">
      <c r="A40" s="5"/>
      <c r="B40" s="1"/>
      <c r="C40" s="2"/>
      <c r="D40" s="2"/>
      <c r="E40" s="3"/>
      <c r="F40" s="3"/>
      <c r="G40" s="3"/>
      <c r="H40" s="3"/>
      <c r="I40" s="51">
        <f>0.1*(Horaires356734512[[#This Row],[Heures de nuit]]+Horaires356734512[[#This Row],[heures jour dimanche]]+Horaires356734512[[#This Row],[heures jour fériés]])</f>
        <v>0</v>
      </c>
      <c r="J40" s="52">
        <f>(MOD(Horaires356734512[[#This Row],[Fin]]-Horaires356734512[[#This Row],[début]],1)-MOD(Horaires356734512[[#This Row],[PNP Fin]]-Horaires356734512[[#This Row],[PNP Début]],1))*24</f>
        <v>0</v>
      </c>
      <c r="K40" s="53">
        <f>IF(Horaires356734512[[#This Row],[PNP Début]]=0,0,IF(Horaires356734512[[#This Row],[PNP Début]]&lt;Horaires356734512[[#This Row],[début]],1,0)+Horaires356734512[[#This Row],[PNP Début]])</f>
        <v>0</v>
      </c>
      <c r="L40" s="54">
        <f>IF(Horaires356734512[[#This Row],[PNP Fin]]=0,0,IF(Horaires356734512[[#This Row],[PNP Fin]]&lt;Horaires356734512[[#This Row],[début]],1,0)+Horaires356734512[[#This Row],[PNP Fin]])</f>
        <v>0</v>
      </c>
      <c r="M40" s="54">
        <f>IF(Horaires356734512[[#This Row],[Fin]]&lt;Horaires356734512[[#This Row],[début]],1,0)+Horaires356734512[[#This Row],[Fin]]</f>
        <v>0</v>
      </c>
      <c r="N40" s="35">
        <f>IF(Horaires356734512[[#This Row],[Fin]]&lt;Horaires356734512[[#This Row],[début]],MAX(0,MIN(Horaires356734512[[#This Row],[Fin corrigée si nuit]],fin_nuit)-MAX(Horaires356734512[[#This Row],[début]],deb_nuit))*24,(MAX(deb_nuit,Horaires356734512[[#This Row],[Fin]])-MAX(deb_nuit,Horaires356734512[[#This Row],[début]])+MAX(MIN(fin_nuit-1,Horaires356734512[[#This Row],[Fin]])-MIN(fin_nuit-1,Horaires356734512[[#This Row],[début]]),0))*24)</f>
        <v>0</v>
      </c>
      <c r="O40" s="55">
        <f>(MAX(0,MIN(Horaires356734512[[#This Row],[Fin corrigée si nuit]],fin_nuit)-MAX(Horaires356734512[[#This Row],[début]],deb_nuit))-IF(Horaires356734512[[#This Row],[PNP Début]]=0,0,MIN(Horaires356734512[[#This Row],[PNP Fin corrigée]],fin_nuit)-MAX(Horaires356734512[[#This Row],[PNP Début corrigé]],deb_nuit)))*24</f>
        <v>0</v>
      </c>
      <c r="P40" s="55">
        <f>(IF(WEEKDAY(Horaires356734512[[#This Row],[Date]],2)=7,MAX(0,MIN(fin_dimJF,Horaires356734512[[#This Row],[Fin corrigée si nuit]])-MAX(deb_dimJF,Horaires356734512[[#This Row],[début]])),0)+IF(WEEKDAY(Horaires356734512[[#This Row],[Date]],2)=6,MAX(0,Horaires356734512[[#This Row],[Fin corrigée si nuit]]-(1+deb_dimJF)),0))*24</f>
        <v>0</v>
      </c>
      <c r="Q40" s="55">
        <f>(IF(WEEKDAY(Horaires356734512[[#This Row],[Date]],2)=7,MAX(0,MIN(fin_dimJF,Horaires356734512[[#This Row],[Fin corrigée si nuit]])-MAX(deb_dimJF,Horaires356734512[[#This Row],[début]])),0)+IF(WEEKDAY(Horaires356734512[[#This Row],[Date]],2)=6,MAX(0,Horaires356734512[[#This Row],[Fin corrigée si nuit]]-(1+deb_dimJF)),0))*24-
(IF(WEEKDAY(Horaires356734512[[#This Row],[Date]],2)=7,MAX(0,MIN(fin_dimJF,Horaires356734512[[#This Row],[PNP Fin corrigée]])-MAX(deb_dimJF,Horaires356734512[[#This Row],[PNP Début corrigé]])),0)+IF(WEEKDAY(Horaires356734512[[#This Row],[Date]],2)=6,MAX(0,Horaires356734512[[#This Row],[PNP Fin corrigée]]-(1+deb_dimJF)),0))*24</f>
        <v>0</v>
      </c>
      <c r="R40" s="55">
        <f>(IF(COUNTIF(JF,Horaires356734512[[#This Row],[Date]]),MAX(0,MIN(fin_dimJF,Horaires356734512[[#This Row],[Fin corrigée si nuit]])-MAX(deb_dimJF,Horaires356734512[[#This Row],[début]])),0)+IF(COUNTIF(JF,Horaires356734512[[#This Row],[Date]]+1),MAX(0,Horaires356734512[[#This Row],[Fin corrigée si nuit]]-(1+deb_dimJF)),0))*24</f>
        <v>0</v>
      </c>
      <c r="S40" s="55">
        <f>(IF(COUNTIF(JF,Horaires356734512[[#This Row],[Date]]),MAX(0,MIN(fin_dimJF,Horaires356734512[[#This Row],[Fin corrigée si nuit]])-MAX(deb_dimJF,Horaires356734512[[#This Row],[début]])),0)+IF(COUNTIF(JF,Horaires356734512[[#This Row],[Date]]+1),MAX(0,Horaires356734512[[#This Row],[Fin corrigée si nuit]]-(1+deb_dimJF)),0))*24-
(IF(COUNTIF(JF,Horaires356734512[[#This Row],[Date]]),MAX(0,MIN(fin_dimJF,Horaires356734512[[#This Row],[PNP Fin corrigée]])-MAX(deb_dimJF,Horaires356734512[[#This Row],[PNP Début corrigé]])),0)+IF(COUNTIF(JF,Horaires356734512[[#This Row],[Date]]+1),MAX(0,Horaires356734512[[#This Row],[PNP Fin corrigée]]-(1+deb_dimJF)),0))*24</f>
        <v>0</v>
      </c>
    </row>
    <row r="41" spans="1:19" x14ac:dyDescent="0.35">
      <c r="A41" s="5"/>
      <c r="B41" s="1"/>
      <c r="C41" s="2"/>
      <c r="D41" s="2"/>
      <c r="E41" s="3"/>
      <c r="F41" s="3"/>
      <c r="G41" s="3"/>
      <c r="H41" s="3"/>
      <c r="I41" s="51">
        <f>0.1*(Horaires356734512[[#This Row],[Heures de nuit]]+Horaires356734512[[#This Row],[heures jour dimanche]]+Horaires356734512[[#This Row],[heures jour fériés]])</f>
        <v>0</v>
      </c>
      <c r="J41" s="52">
        <f>(MOD(Horaires356734512[[#This Row],[Fin]]-Horaires356734512[[#This Row],[début]],1)-MOD(Horaires356734512[[#This Row],[PNP Fin]]-Horaires356734512[[#This Row],[PNP Début]],1))*24</f>
        <v>0</v>
      </c>
      <c r="K41" s="53">
        <f>IF(Horaires356734512[[#This Row],[PNP Début]]=0,0,IF(Horaires356734512[[#This Row],[PNP Début]]&lt;Horaires356734512[[#This Row],[début]],1,0)+Horaires356734512[[#This Row],[PNP Début]])</f>
        <v>0</v>
      </c>
      <c r="L41" s="54">
        <f>IF(Horaires356734512[[#This Row],[PNP Fin]]=0,0,IF(Horaires356734512[[#This Row],[PNP Fin]]&lt;Horaires356734512[[#This Row],[début]],1,0)+Horaires356734512[[#This Row],[PNP Fin]])</f>
        <v>0</v>
      </c>
      <c r="M41" s="54">
        <f>IF(Horaires356734512[[#This Row],[Fin]]&lt;Horaires356734512[[#This Row],[début]],1,0)+Horaires356734512[[#This Row],[Fin]]</f>
        <v>0</v>
      </c>
      <c r="N41" s="35">
        <f>IF(Horaires356734512[[#This Row],[Fin]]&lt;Horaires356734512[[#This Row],[début]],MAX(0,MIN(Horaires356734512[[#This Row],[Fin corrigée si nuit]],fin_nuit)-MAX(Horaires356734512[[#This Row],[début]],deb_nuit))*24,(MAX(deb_nuit,Horaires356734512[[#This Row],[Fin]])-MAX(deb_nuit,Horaires356734512[[#This Row],[début]])+MAX(MIN(fin_nuit-1,Horaires356734512[[#This Row],[Fin]])-MIN(fin_nuit-1,Horaires356734512[[#This Row],[début]]),0))*24)</f>
        <v>0</v>
      </c>
      <c r="O41" s="55">
        <f>(MAX(0,MIN(Horaires356734512[[#This Row],[Fin corrigée si nuit]],fin_nuit)-MAX(Horaires356734512[[#This Row],[début]],deb_nuit))-IF(Horaires356734512[[#This Row],[PNP Début]]=0,0,MIN(Horaires356734512[[#This Row],[PNP Fin corrigée]],fin_nuit)-MAX(Horaires356734512[[#This Row],[PNP Début corrigé]],deb_nuit)))*24</f>
        <v>0</v>
      </c>
      <c r="P41" s="55">
        <f>(IF(WEEKDAY(Horaires356734512[[#This Row],[Date]],2)=7,MAX(0,MIN(fin_dimJF,Horaires356734512[[#This Row],[Fin corrigée si nuit]])-MAX(deb_dimJF,Horaires356734512[[#This Row],[début]])),0)+IF(WEEKDAY(Horaires356734512[[#This Row],[Date]],2)=6,MAX(0,Horaires356734512[[#This Row],[Fin corrigée si nuit]]-(1+deb_dimJF)),0))*24</f>
        <v>0</v>
      </c>
      <c r="Q41" s="55">
        <f>(IF(WEEKDAY(Horaires356734512[[#This Row],[Date]],2)=7,MAX(0,MIN(fin_dimJF,Horaires356734512[[#This Row],[Fin corrigée si nuit]])-MAX(deb_dimJF,Horaires356734512[[#This Row],[début]])),0)+IF(WEEKDAY(Horaires356734512[[#This Row],[Date]],2)=6,MAX(0,Horaires356734512[[#This Row],[Fin corrigée si nuit]]-(1+deb_dimJF)),0))*24-
(IF(WEEKDAY(Horaires356734512[[#This Row],[Date]],2)=7,MAX(0,MIN(fin_dimJF,Horaires356734512[[#This Row],[PNP Fin corrigée]])-MAX(deb_dimJF,Horaires356734512[[#This Row],[PNP Début corrigé]])),0)+IF(WEEKDAY(Horaires356734512[[#This Row],[Date]],2)=6,MAX(0,Horaires356734512[[#This Row],[PNP Fin corrigée]]-(1+deb_dimJF)),0))*24</f>
        <v>0</v>
      </c>
      <c r="R41" s="55">
        <f>(IF(COUNTIF(JF,Horaires356734512[[#This Row],[Date]]),MAX(0,MIN(fin_dimJF,Horaires356734512[[#This Row],[Fin corrigée si nuit]])-MAX(deb_dimJF,Horaires356734512[[#This Row],[début]])),0)+IF(COUNTIF(JF,Horaires356734512[[#This Row],[Date]]+1),MAX(0,Horaires356734512[[#This Row],[Fin corrigée si nuit]]-(1+deb_dimJF)),0))*24</f>
        <v>0</v>
      </c>
      <c r="S41" s="55">
        <f>(IF(COUNTIF(JF,Horaires356734512[[#This Row],[Date]]),MAX(0,MIN(fin_dimJF,Horaires356734512[[#This Row],[Fin corrigée si nuit]])-MAX(deb_dimJF,Horaires356734512[[#This Row],[début]])),0)+IF(COUNTIF(JF,Horaires356734512[[#This Row],[Date]]+1),MAX(0,Horaires356734512[[#This Row],[Fin corrigée si nuit]]-(1+deb_dimJF)),0))*24-
(IF(COUNTIF(JF,Horaires356734512[[#This Row],[Date]]),MAX(0,MIN(fin_dimJF,Horaires356734512[[#This Row],[PNP Fin corrigée]])-MAX(deb_dimJF,Horaires356734512[[#This Row],[PNP Début corrigé]])),0)+IF(COUNTIF(JF,Horaires356734512[[#This Row],[Date]]+1),MAX(0,Horaires356734512[[#This Row],[PNP Fin corrigée]]-(1+deb_dimJF)),0))*24</f>
        <v>0</v>
      </c>
    </row>
    <row r="42" spans="1:19" x14ac:dyDescent="0.35">
      <c r="A42" s="5"/>
      <c r="B42" s="1"/>
      <c r="C42" s="2"/>
      <c r="D42" s="2"/>
      <c r="E42" s="3"/>
      <c r="F42" s="3"/>
      <c r="G42" s="3"/>
      <c r="H42" s="3"/>
      <c r="I42" s="51">
        <f>0.1*(Horaires356734512[[#This Row],[Heures de nuit]]+Horaires356734512[[#This Row],[heures jour dimanche]]+Horaires356734512[[#This Row],[heures jour fériés]])</f>
        <v>0</v>
      </c>
      <c r="J42" s="52">
        <f>(MOD(Horaires356734512[[#This Row],[Fin]]-Horaires356734512[[#This Row],[début]],1)-MOD(Horaires356734512[[#This Row],[PNP Fin]]-Horaires356734512[[#This Row],[PNP Début]],1))*24</f>
        <v>0</v>
      </c>
      <c r="K42" s="53">
        <f>IF(Horaires356734512[[#This Row],[PNP Début]]=0,0,IF(Horaires356734512[[#This Row],[PNP Début]]&lt;Horaires356734512[[#This Row],[début]],1,0)+Horaires356734512[[#This Row],[PNP Début]])</f>
        <v>0</v>
      </c>
      <c r="L42" s="54">
        <f>IF(Horaires356734512[[#This Row],[PNP Fin]]=0,0,IF(Horaires356734512[[#This Row],[PNP Fin]]&lt;Horaires356734512[[#This Row],[début]],1,0)+Horaires356734512[[#This Row],[PNP Fin]])</f>
        <v>0</v>
      </c>
      <c r="M42" s="54">
        <f>IF(Horaires356734512[[#This Row],[Fin]]&lt;Horaires356734512[[#This Row],[début]],1,0)+Horaires356734512[[#This Row],[Fin]]</f>
        <v>0</v>
      </c>
      <c r="N42" s="35">
        <f>IF(Horaires356734512[[#This Row],[Fin]]&lt;Horaires356734512[[#This Row],[début]],MAX(0,MIN(Horaires356734512[[#This Row],[Fin corrigée si nuit]],fin_nuit)-MAX(Horaires356734512[[#This Row],[début]],deb_nuit))*24,(MAX(deb_nuit,Horaires356734512[[#This Row],[Fin]])-MAX(deb_nuit,Horaires356734512[[#This Row],[début]])+MAX(MIN(fin_nuit-1,Horaires356734512[[#This Row],[Fin]])-MIN(fin_nuit-1,Horaires356734512[[#This Row],[début]]),0))*24)</f>
        <v>0</v>
      </c>
      <c r="O42" s="55">
        <f>(MAX(0,MIN(Horaires356734512[[#This Row],[Fin corrigée si nuit]],fin_nuit)-MAX(Horaires356734512[[#This Row],[début]],deb_nuit))-IF(Horaires356734512[[#This Row],[PNP Début]]=0,0,MIN(Horaires356734512[[#This Row],[PNP Fin corrigée]],fin_nuit)-MAX(Horaires356734512[[#This Row],[PNP Début corrigé]],deb_nuit)))*24</f>
        <v>0</v>
      </c>
      <c r="P42" s="55">
        <f>(IF(WEEKDAY(Horaires356734512[[#This Row],[Date]],2)=7,MAX(0,MIN(fin_dimJF,Horaires356734512[[#This Row],[Fin corrigée si nuit]])-MAX(deb_dimJF,Horaires356734512[[#This Row],[début]])),0)+IF(WEEKDAY(Horaires356734512[[#This Row],[Date]],2)=6,MAX(0,Horaires356734512[[#This Row],[Fin corrigée si nuit]]-(1+deb_dimJF)),0))*24</f>
        <v>0</v>
      </c>
      <c r="Q42" s="55">
        <f>(IF(WEEKDAY(Horaires356734512[[#This Row],[Date]],2)=7,MAX(0,MIN(fin_dimJF,Horaires356734512[[#This Row],[Fin corrigée si nuit]])-MAX(deb_dimJF,Horaires356734512[[#This Row],[début]])),0)+IF(WEEKDAY(Horaires356734512[[#This Row],[Date]],2)=6,MAX(0,Horaires356734512[[#This Row],[Fin corrigée si nuit]]-(1+deb_dimJF)),0))*24-
(IF(WEEKDAY(Horaires356734512[[#This Row],[Date]],2)=7,MAX(0,MIN(fin_dimJF,Horaires356734512[[#This Row],[PNP Fin corrigée]])-MAX(deb_dimJF,Horaires356734512[[#This Row],[PNP Début corrigé]])),0)+IF(WEEKDAY(Horaires356734512[[#This Row],[Date]],2)=6,MAX(0,Horaires356734512[[#This Row],[PNP Fin corrigée]]-(1+deb_dimJF)),0))*24</f>
        <v>0</v>
      </c>
      <c r="R42" s="55">
        <f>(IF(COUNTIF(JF,Horaires356734512[[#This Row],[Date]]),MAX(0,MIN(fin_dimJF,Horaires356734512[[#This Row],[Fin corrigée si nuit]])-MAX(deb_dimJF,Horaires356734512[[#This Row],[début]])),0)+IF(COUNTIF(JF,Horaires356734512[[#This Row],[Date]]+1),MAX(0,Horaires356734512[[#This Row],[Fin corrigée si nuit]]-(1+deb_dimJF)),0))*24</f>
        <v>0</v>
      </c>
      <c r="S42" s="55">
        <f>(IF(COUNTIF(JF,Horaires356734512[[#This Row],[Date]]),MAX(0,MIN(fin_dimJF,Horaires356734512[[#This Row],[Fin corrigée si nuit]])-MAX(deb_dimJF,Horaires356734512[[#This Row],[début]])),0)+IF(COUNTIF(JF,Horaires356734512[[#This Row],[Date]]+1),MAX(0,Horaires356734512[[#This Row],[Fin corrigée si nuit]]-(1+deb_dimJF)),0))*24-
(IF(COUNTIF(JF,Horaires356734512[[#This Row],[Date]]),MAX(0,MIN(fin_dimJF,Horaires356734512[[#This Row],[PNP Fin corrigée]])-MAX(deb_dimJF,Horaires356734512[[#This Row],[PNP Début corrigé]])),0)+IF(COUNTIF(JF,Horaires356734512[[#This Row],[Date]]+1),MAX(0,Horaires356734512[[#This Row],[PNP Fin corrigée]]-(1+deb_dimJF)),0))*24</f>
        <v>0</v>
      </c>
    </row>
    <row r="43" spans="1:19" x14ac:dyDescent="0.35">
      <c r="A43" s="5"/>
      <c r="B43" s="1"/>
      <c r="C43" s="2"/>
      <c r="D43" s="2"/>
      <c r="E43" s="3"/>
      <c r="F43" s="3"/>
      <c r="G43" s="3"/>
      <c r="H43" s="3"/>
      <c r="I43" s="51">
        <f>0.1*(Horaires356734512[[#This Row],[Heures de nuit]]+Horaires356734512[[#This Row],[heures jour dimanche]]+Horaires356734512[[#This Row],[heures jour fériés]])</f>
        <v>0</v>
      </c>
      <c r="J43" s="52">
        <f>(MOD(Horaires356734512[[#This Row],[Fin]]-Horaires356734512[[#This Row],[début]],1)-MOD(Horaires356734512[[#This Row],[PNP Fin]]-Horaires356734512[[#This Row],[PNP Début]],1))*24</f>
        <v>0</v>
      </c>
      <c r="K43" s="53">
        <f>IF(Horaires356734512[[#This Row],[PNP Début]]=0,0,IF(Horaires356734512[[#This Row],[PNP Début]]&lt;Horaires356734512[[#This Row],[début]],1,0)+Horaires356734512[[#This Row],[PNP Début]])</f>
        <v>0</v>
      </c>
      <c r="L43" s="54">
        <f>IF(Horaires356734512[[#This Row],[PNP Fin]]=0,0,IF(Horaires356734512[[#This Row],[PNP Fin]]&lt;Horaires356734512[[#This Row],[début]],1,0)+Horaires356734512[[#This Row],[PNP Fin]])</f>
        <v>0</v>
      </c>
      <c r="M43" s="54">
        <f>IF(Horaires356734512[[#This Row],[Fin]]&lt;Horaires356734512[[#This Row],[début]],1,0)+Horaires356734512[[#This Row],[Fin]]</f>
        <v>0</v>
      </c>
      <c r="N43" s="35">
        <f>IF(Horaires356734512[[#This Row],[Fin]]&lt;Horaires356734512[[#This Row],[début]],MAX(0,MIN(Horaires356734512[[#This Row],[Fin corrigée si nuit]],fin_nuit)-MAX(Horaires356734512[[#This Row],[début]],deb_nuit))*24,(MAX(deb_nuit,Horaires356734512[[#This Row],[Fin]])-MAX(deb_nuit,Horaires356734512[[#This Row],[début]])+MAX(MIN(fin_nuit-1,Horaires356734512[[#This Row],[Fin]])-MIN(fin_nuit-1,Horaires356734512[[#This Row],[début]]),0))*24)</f>
        <v>0</v>
      </c>
      <c r="O43" s="55">
        <f>(MAX(0,MIN(Horaires356734512[[#This Row],[Fin corrigée si nuit]],fin_nuit)-MAX(Horaires356734512[[#This Row],[début]],deb_nuit))-IF(Horaires356734512[[#This Row],[PNP Début]]=0,0,MIN(Horaires356734512[[#This Row],[PNP Fin corrigée]],fin_nuit)-MAX(Horaires356734512[[#This Row],[PNP Début corrigé]],deb_nuit)))*24</f>
        <v>0</v>
      </c>
      <c r="P43" s="55">
        <f>(IF(WEEKDAY(Horaires356734512[[#This Row],[Date]],2)=7,MAX(0,MIN(fin_dimJF,Horaires356734512[[#This Row],[Fin corrigée si nuit]])-MAX(deb_dimJF,Horaires356734512[[#This Row],[début]])),0)+IF(WEEKDAY(Horaires356734512[[#This Row],[Date]],2)=6,MAX(0,Horaires356734512[[#This Row],[Fin corrigée si nuit]]-(1+deb_dimJF)),0))*24</f>
        <v>0</v>
      </c>
      <c r="Q43" s="55">
        <f>(IF(WEEKDAY(Horaires356734512[[#This Row],[Date]],2)=7,MAX(0,MIN(fin_dimJF,Horaires356734512[[#This Row],[Fin corrigée si nuit]])-MAX(deb_dimJF,Horaires356734512[[#This Row],[début]])),0)+IF(WEEKDAY(Horaires356734512[[#This Row],[Date]],2)=6,MAX(0,Horaires356734512[[#This Row],[Fin corrigée si nuit]]-(1+deb_dimJF)),0))*24-
(IF(WEEKDAY(Horaires356734512[[#This Row],[Date]],2)=7,MAX(0,MIN(fin_dimJF,Horaires356734512[[#This Row],[PNP Fin corrigée]])-MAX(deb_dimJF,Horaires356734512[[#This Row],[PNP Début corrigé]])),0)+IF(WEEKDAY(Horaires356734512[[#This Row],[Date]],2)=6,MAX(0,Horaires356734512[[#This Row],[PNP Fin corrigée]]-(1+deb_dimJF)),0))*24</f>
        <v>0</v>
      </c>
      <c r="R43" s="55">
        <f>(IF(COUNTIF(JF,Horaires356734512[[#This Row],[Date]]),MAX(0,MIN(fin_dimJF,Horaires356734512[[#This Row],[Fin corrigée si nuit]])-MAX(deb_dimJF,Horaires356734512[[#This Row],[début]])),0)+IF(COUNTIF(JF,Horaires356734512[[#This Row],[Date]]+1),MAX(0,Horaires356734512[[#This Row],[Fin corrigée si nuit]]-(1+deb_dimJF)),0))*24</f>
        <v>0</v>
      </c>
      <c r="S43" s="55">
        <f>(IF(COUNTIF(JF,Horaires356734512[[#This Row],[Date]]),MAX(0,MIN(fin_dimJF,Horaires356734512[[#This Row],[Fin corrigée si nuit]])-MAX(deb_dimJF,Horaires356734512[[#This Row],[début]])),0)+IF(COUNTIF(JF,Horaires356734512[[#This Row],[Date]]+1),MAX(0,Horaires356734512[[#This Row],[Fin corrigée si nuit]]-(1+deb_dimJF)),0))*24-
(IF(COUNTIF(JF,Horaires356734512[[#This Row],[Date]]),MAX(0,MIN(fin_dimJF,Horaires356734512[[#This Row],[PNP Fin corrigée]])-MAX(deb_dimJF,Horaires356734512[[#This Row],[PNP Début corrigé]])),0)+IF(COUNTIF(JF,Horaires356734512[[#This Row],[Date]]+1),MAX(0,Horaires356734512[[#This Row],[PNP Fin corrigée]]-(1+deb_dimJF)),0))*24</f>
        <v>0</v>
      </c>
    </row>
    <row r="44" spans="1:19" x14ac:dyDescent="0.35">
      <c r="A44" s="5"/>
      <c r="B44" s="1"/>
      <c r="C44" s="2"/>
      <c r="D44" s="2"/>
      <c r="E44" s="3"/>
      <c r="F44" s="3"/>
      <c r="G44" s="3"/>
      <c r="H44" s="3"/>
      <c r="I44" s="51">
        <f>0.1*(Horaires356734512[[#This Row],[Heures de nuit]]+Horaires356734512[[#This Row],[heures jour dimanche]]+Horaires356734512[[#This Row],[heures jour fériés]])</f>
        <v>0</v>
      </c>
      <c r="J44" s="52">
        <f>(MOD(Horaires356734512[[#This Row],[Fin]]-Horaires356734512[[#This Row],[début]],1)-MOD(Horaires356734512[[#This Row],[PNP Fin]]-Horaires356734512[[#This Row],[PNP Début]],1))*24</f>
        <v>0</v>
      </c>
      <c r="K44" s="53">
        <f>IF(Horaires356734512[[#This Row],[PNP Début]]=0,0,IF(Horaires356734512[[#This Row],[PNP Début]]&lt;Horaires356734512[[#This Row],[début]],1,0)+Horaires356734512[[#This Row],[PNP Début]])</f>
        <v>0</v>
      </c>
      <c r="L44" s="54">
        <f>IF(Horaires356734512[[#This Row],[PNP Fin]]=0,0,IF(Horaires356734512[[#This Row],[PNP Fin]]&lt;Horaires356734512[[#This Row],[début]],1,0)+Horaires356734512[[#This Row],[PNP Fin]])</f>
        <v>0</v>
      </c>
      <c r="M44" s="54">
        <f>IF(Horaires356734512[[#This Row],[Fin]]&lt;Horaires356734512[[#This Row],[début]],1,0)+Horaires356734512[[#This Row],[Fin]]</f>
        <v>0</v>
      </c>
      <c r="N44" s="35">
        <f>IF(Horaires356734512[[#This Row],[Fin]]&lt;Horaires356734512[[#This Row],[début]],MAX(0,MIN(Horaires356734512[[#This Row],[Fin corrigée si nuit]],fin_nuit)-MAX(Horaires356734512[[#This Row],[début]],deb_nuit))*24,(MAX(deb_nuit,Horaires356734512[[#This Row],[Fin]])-MAX(deb_nuit,Horaires356734512[[#This Row],[début]])+MAX(MIN(fin_nuit-1,Horaires356734512[[#This Row],[Fin]])-MIN(fin_nuit-1,Horaires356734512[[#This Row],[début]]),0))*24)</f>
        <v>0</v>
      </c>
      <c r="O44" s="55">
        <f>(MAX(0,MIN(Horaires356734512[[#This Row],[Fin corrigée si nuit]],fin_nuit)-MAX(Horaires356734512[[#This Row],[début]],deb_nuit))-IF(Horaires356734512[[#This Row],[PNP Début]]=0,0,MIN(Horaires356734512[[#This Row],[PNP Fin corrigée]],fin_nuit)-MAX(Horaires356734512[[#This Row],[PNP Début corrigé]],deb_nuit)))*24</f>
        <v>0</v>
      </c>
      <c r="P44" s="55">
        <f>(IF(WEEKDAY(Horaires356734512[[#This Row],[Date]],2)=7,MAX(0,MIN(fin_dimJF,Horaires356734512[[#This Row],[Fin corrigée si nuit]])-MAX(deb_dimJF,Horaires356734512[[#This Row],[début]])),0)+IF(WEEKDAY(Horaires356734512[[#This Row],[Date]],2)=6,MAX(0,Horaires356734512[[#This Row],[Fin corrigée si nuit]]-(1+deb_dimJF)),0))*24</f>
        <v>0</v>
      </c>
      <c r="Q44" s="55">
        <f>(IF(WEEKDAY(Horaires356734512[[#This Row],[Date]],2)=7,MAX(0,MIN(fin_dimJF,Horaires356734512[[#This Row],[Fin corrigée si nuit]])-MAX(deb_dimJF,Horaires356734512[[#This Row],[début]])),0)+IF(WEEKDAY(Horaires356734512[[#This Row],[Date]],2)=6,MAX(0,Horaires356734512[[#This Row],[Fin corrigée si nuit]]-(1+deb_dimJF)),0))*24-
(IF(WEEKDAY(Horaires356734512[[#This Row],[Date]],2)=7,MAX(0,MIN(fin_dimJF,Horaires356734512[[#This Row],[PNP Fin corrigée]])-MAX(deb_dimJF,Horaires356734512[[#This Row],[PNP Début corrigé]])),0)+IF(WEEKDAY(Horaires356734512[[#This Row],[Date]],2)=6,MAX(0,Horaires356734512[[#This Row],[PNP Fin corrigée]]-(1+deb_dimJF)),0))*24</f>
        <v>0</v>
      </c>
      <c r="R44" s="55">
        <f>(IF(COUNTIF(JF,Horaires356734512[[#This Row],[Date]]),MAX(0,MIN(fin_dimJF,Horaires356734512[[#This Row],[Fin corrigée si nuit]])-MAX(deb_dimJF,Horaires356734512[[#This Row],[début]])),0)+IF(COUNTIF(JF,Horaires356734512[[#This Row],[Date]]+1),MAX(0,Horaires356734512[[#This Row],[Fin corrigée si nuit]]-(1+deb_dimJF)),0))*24</f>
        <v>0</v>
      </c>
      <c r="S44" s="55">
        <f>(IF(COUNTIF(JF,Horaires356734512[[#This Row],[Date]]),MAX(0,MIN(fin_dimJF,Horaires356734512[[#This Row],[Fin corrigée si nuit]])-MAX(deb_dimJF,Horaires356734512[[#This Row],[début]])),0)+IF(COUNTIF(JF,Horaires356734512[[#This Row],[Date]]+1),MAX(0,Horaires356734512[[#This Row],[Fin corrigée si nuit]]-(1+deb_dimJF)),0))*24-
(IF(COUNTIF(JF,Horaires356734512[[#This Row],[Date]]),MAX(0,MIN(fin_dimJF,Horaires356734512[[#This Row],[PNP Fin corrigée]])-MAX(deb_dimJF,Horaires356734512[[#This Row],[PNP Début corrigé]])),0)+IF(COUNTIF(JF,Horaires356734512[[#This Row],[Date]]+1),MAX(0,Horaires356734512[[#This Row],[PNP Fin corrigée]]-(1+deb_dimJF)),0))*24</f>
        <v>0</v>
      </c>
    </row>
    <row r="45" spans="1:19" x14ac:dyDescent="0.35">
      <c r="A45" s="5"/>
      <c r="B45" s="1"/>
      <c r="C45" s="2"/>
      <c r="D45" s="2"/>
      <c r="E45" s="3"/>
      <c r="F45" s="3"/>
      <c r="G45" s="3"/>
      <c r="H45" s="3"/>
      <c r="I45" s="51">
        <f>0.1*(Horaires356734512[[#This Row],[Heures de nuit]]+Horaires356734512[[#This Row],[heures jour dimanche]]+Horaires356734512[[#This Row],[heures jour fériés]])</f>
        <v>0</v>
      </c>
      <c r="J45" s="52">
        <f>(MOD(Horaires356734512[[#This Row],[Fin]]-Horaires356734512[[#This Row],[début]],1)-MOD(Horaires356734512[[#This Row],[PNP Fin]]-Horaires356734512[[#This Row],[PNP Début]],1))*24</f>
        <v>0</v>
      </c>
      <c r="K45" s="53">
        <f>IF(Horaires356734512[[#This Row],[PNP Début]]=0,0,IF(Horaires356734512[[#This Row],[PNP Début]]&lt;Horaires356734512[[#This Row],[début]],1,0)+Horaires356734512[[#This Row],[PNP Début]])</f>
        <v>0</v>
      </c>
      <c r="L45" s="54">
        <f>IF(Horaires356734512[[#This Row],[PNP Fin]]=0,0,IF(Horaires356734512[[#This Row],[PNP Fin]]&lt;Horaires356734512[[#This Row],[début]],1,0)+Horaires356734512[[#This Row],[PNP Fin]])</f>
        <v>0</v>
      </c>
      <c r="M45" s="54">
        <f>IF(Horaires356734512[[#This Row],[Fin]]&lt;Horaires356734512[[#This Row],[début]],1,0)+Horaires356734512[[#This Row],[Fin]]</f>
        <v>0</v>
      </c>
      <c r="N45" s="35">
        <f>IF(Horaires356734512[[#This Row],[Fin]]&lt;Horaires356734512[[#This Row],[début]],MAX(0,MIN(Horaires356734512[[#This Row],[Fin corrigée si nuit]],fin_nuit)-MAX(Horaires356734512[[#This Row],[début]],deb_nuit))*24,(MAX(deb_nuit,Horaires356734512[[#This Row],[Fin]])-MAX(deb_nuit,Horaires356734512[[#This Row],[début]])+MAX(MIN(fin_nuit-1,Horaires356734512[[#This Row],[Fin]])-MIN(fin_nuit-1,Horaires356734512[[#This Row],[début]]),0))*24)</f>
        <v>0</v>
      </c>
      <c r="O45" s="55">
        <f>(MAX(0,MIN(Horaires356734512[[#This Row],[Fin corrigée si nuit]],fin_nuit)-MAX(Horaires356734512[[#This Row],[début]],deb_nuit))-IF(Horaires356734512[[#This Row],[PNP Début]]=0,0,MIN(Horaires356734512[[#This Row],[PNP Fin corrigée]],fin_nuit)-MAX(Horaires356734512[[#This Row],[PNP Début corrigé]],deb_nuit)))*24</f>
        <v>0</v>
      </c>
      <c r="P45" s="55">
        <f>(IF(WEEKDAY(Horaires356734512[[#This Row],[Date]],2)=7,MAX(0,MIN(fin_dimJF,Horaires356734512[[#This Row],[Fin corrigée si nuit]])-MAX(deb_dimJF,Horaires356734512[[#This Row],[début]])),0)+IF(WEEKDAY(Horaires356734512[[#This Row],[Date]],2)=6,MAX(0,Horaires356734512[[#This Row],[Fin corrigée si nuit]]-(1+deb_dimJF)),0))*24</f>
        <v>0</v>
      </c>
      <c r="Q45" s="55">
        <f>(IF(WEEKDAY(Horaires356734512[[#This Row],[Date]],2)=7,MAX(0,MIN(fin_dimJF,Horaires356734512[[#This Row],[Fin corrigée si nuit]])-MAX(deb_dimJF,Horaires356734512[[#This Row],[début]])),0)+IF(WEEKDAY(Horaires356734512[[#This Row],[Date]],2)=6,MAX(0,Horaires356734512[[#This Row],[Fin corrigée si nuit]]-(1+deb_dimJF)),0))*24-
(IF(WEEKDAY(Horaires356734512[[#This Row],[Date]],2)=7,MAX(0,MIN(fin_dimJF,Horaires356734512[[#This Row],[PNP Fin corrigée]])-MAX(deb_dimJF,Horaires356734512[[#This Row],[PNP Début corrigé]])),0)+IF(WEEKDAY(Horaires356734512[[#This Row],[Date]],2)=6,MAX(0,Horaires356734512[[#This Row],[PNP Fin corrigée]]-(1+deb_dimJF)),0))*24</f>
        <v>0</v>
      </c>
      <c r="R45" s="55">
        <f>(IF(COUNTIF(JF,Horaires356734512[[#This Row],[Date]]),MAX(0,MIN(fin_dimJF,Horaires356734512[[#This Row],[Fin corrigée si nuit]])-MAX(deb_dimJF,Horaires356734512[[#This Row],[début]])),0)+IF(COUNTIF(JF,Horaires356734512[[#This Row],[Date]]+1),MAX(0,Horaires356734512[[#This Row],[Fin corrigée si nuit]]-(1+deb_dimJF)),0))*24</f>
        <v>0</v>
      </c>
      <c r="S45" s="55">
        <f>(IF(COUNTIF(JF,Horaires356734512[[#This Row],[Date]]),MAX(0,MIN(fin_dimJF,Horaires356734512[[#This Row],[Fin corrigée si nuit]])-MAX(deb_dimJF,Horaires356734512[[#This Row],[début]])),0)+IF(COUNTIF(JF,Horaires356734512[[#This Row],[Date]]+1),MAX(0,Horaires356734512[[#This Row],[Fin corrigée si nuit]]-(1+deb_dimJF)),0))*24-
(IF(COUNTIF(JF,Horaires356734512[[#This Row],[Date]]),MAX(0,MIN(fin_dimJF,Horaires356734512[[#This Row],[PNP Fin corrigée]])-MAX(deb_dimJF,Horaires356734512[[#This Row],[PNP Début corrigé]])),0)+IF(COUNTIF(JF,Horaires356734512[[#This Row],[Date]]+1),MAX(0,Horaires356734512[[#This Row],[PNP Fin corrigée]]-(1+deb_dimJF)),0))*24</f>
        <v>0</v>
      </c>
    </row>
    <row r="46" spans="1:19" x14ac:dyDescent="0.35">
      <c r="A46" s="5"/>
      <c r="B46" s="1"/>
      <c r="C46" s="2"/>
      <c r="D46" s="2"/>
      <c r="E46" s="3"/>
      <c r="F46" s="3"/>
      <c r="G46" s="3"/>
      <c r="H46" s="3"/>
      <c r="I46" s="51">
        <f>0.1*(Horaires356734512[[#This Row],[Heures de nuit]]+Horaires356734512[[#This Row],[heures jour dimanche]]+Horaires356734512[[#This Row],[heures jour fériés]])</f>
        <v>0</v>
      </c>
      <c r="J46" s="52">
        <f>(MOD(Horaires356734512[[#This Row],[Fin]]-Horaires356734512[[#This Row],[début]],1)-MOD(Horaires356734512[[#This Row],[PNP Fin]]-Horaires356734512[[#This Row],[PNP Début]],1))*24</f>
        <v>0</v>
      </c>
      <c r="K46" s="53">
        <f>IF(Horaires356734512[[#This Row],[PNP Début]]=0,0,IF(Horaires356734512[[#This Row],[PNP Début]]&lt;Horaires356734512[[#This Row],[début]],1,0)+Horaires356734512[[#This Row],[PNP Début]])</f>
        <v>0</v>
      </c>
      <c r="L46" s="54">
        <f>IF(Horaires356734512[[#This Row],[PNP Fin]]=0,0,IF(Horaires356734512[[#This Row],[PNP Fin]]&lt;Horaires356734512[[#This Row],[début]],1,0)+Horaires356734512[[#This Row],[PNP Fin]])</f>
        <v>0</v>
      </c>
      <c r="M46" s="54">
        <f>IF(Horaires356734512[[#This Row],[Fin]]&lt;Horaires356734512[[#This Row],[début]],1,0)+Horaires356734512[[#This Row],[Fin]]</f>
        <v>0</v>
      </c>
      <c r="N46" s="35">
        <f>IF(Horaires356734512[[#This Row],[Fin]]&lt;Horaires356734512[[#This Row],[début]],MAX(0,MIN(Horaires356734512[[#This Row],[Fin corrigée si nuit]],fin_nuit)-MAX(Horaires356734512[[#This Row],[début]],deb_nuit))*24,(MAX(deb_nuit,Horaires356734512[[#This Row],[Fin]])-MAX(deb_nuit,Horaires356734512[[#This Row],[début]])+MAX(MIN(fin_nuit-1,Horaires356734512[[#This Row],[Fin]])-MIN(fin_nuit-1,Horaires356734512[[#This Row],[début]]),0))*24)</f>
        <v>0</v>
      </c>
      <c r="O46" s="55">
        <f>(MAX(0,MIN(Horaires356734512[[#This Row],[Fin corrigée si nuit]],fin_nuit)-MAX(Horaires356734512[[#This Row],[début]],deb_nuit))-IF(Horaires356734512[[#This Row],[PNP Début]]=0,0,MIN(Horaires356734512[[#This Row],[PNP Fin corrigée]],fin_nuit)-MAX(Horaires356734512[[#This Row],[PNP Début corrigé]],deb_nuit)))*24</f>
        <v>0</v>
      </c>
      <c r="P46" s="55">
        <f>(IF(WEEKDAY(Horaires356734512[[#This Row],[Date]],2)=7,MAX(0,MIN(fin_dimJF,Horaires356734512[[#This Row],[Fin corrigée si nuit]])-MAX(deb_dimJF,Horaires356734512[[#This Row],[début]])),0)+IF(WEEKDAY(Horaires356734512[[#This Row],[Date]],2)=6,MAX(0,Horaires356734512[[#This Row],[Fin corrigée si nuit]]-(1+deb_dimJF)),0))*24</f>
        <v>0</v>
      </c>
      <c r="Q46" s="55">
        <f>(IF(WEEKDAY(Horaires356734512[[#This Row],[Date]],2)=7,MAX(0,MIN(fin_dimJF,Horaires356734512[[#This Row],[Fin corrigée si nuit]])-MAX(deb_dimJF,Horaires356734512[[#This Row],[début]])),0)+IF(WEEKDAY(Horaires356734512[[#This Row],[Date]],2)=6,MAX(0,Horaires356734512[[#This Row],[Fin corrigée si nuit]]-(1+deb_dimJF)),0))*24-
(IF(WEEKDAY(Horaires356734512[[#This Row],[Date]],2)=7,MAX(0,MIN(fin_dimJF,Horaires356734512[[#This Row],[PNP Fin corrigée]])-MAX(deb_dimJF,Horaires356734512[[#This Row],[PNP Début corrigé]])),0)+IF(WEEKDAY(Horaires356734512[[#This Row],[Date]],2)=6,MAX(0,Horaires356734512[[#This Row],[PNP Fin corrigée]]-(1+deb_dimJF)),0))*24</f>
        <v>0</v>
      </c>
      <c r="R46" s="55">
        <f>(IF(COUNTIF(JF,Horaires356734512[[#This Row],[Date]]),MAX(0,MIN(fin_dimJF,Horaires356734512[[#This Row],[Fin corrigée si nuit]])-MAX(deb_dimJF,Horaires356734512[[#This Row],[début]])),0)+IF(COUNTIF(JF,Horaires356734512[[#This Row],[Date]]+1),MAX(0,Horaires356734512[[#This Row],[Fin corrigée si nuit]]-(1+deb_dimJF)),0))*24</f>
        <v>0</v>
      </c>
      <c r="S46" s="55">
        <f>(IF(COUNTIF(JF,Horaires356734512[[#This Row],[Date]]),MAX(0,MIN(fin_dimJF,Horaires356734512[[#This Row],[Fin corrigée si nuit]])-MAX(deb_dimJF,Horaires356734512[[#This Row],[début]])),0)+IF(COUNTIF(JF,Horaires356734512[[#This Row],[Date]]+1),MAX(0,Horaires356734512[[#This Row],[Fin corrigée si nuit]]-(1+deb_dimJF)),0))*24-
(IF(COUNTIF(JF,Horaires356734512[[#This Row],[Date]]),MAX(0,MIN(fin_dimJF,Horaires356734512[[#This Row],[PNP Fin corrigée]])-MAX(deb_dimJF,Horaires356734512[[#This Row],[PNP Début corrigé]])),0)+IF(COUNTIF(JF,Horaires356734512[[#This Row],[Date]]+1),MAX(0,Horaires356734512[[#This Row],[PNP Fin corrigée]]-(1+deb_dimJF)),0))*24</f>
        <v>0</v>
      </c>
    </row>
    <row r="47" spans="1:19" x14ac:dyDescent="0.35">
      <c r="A47" s="5"/>
      <c r="B47" s="1"/>
      <c r="C47" s="2"/>
      <c r="D47" s="2"/>
      <c r="E47" s="3"/>
      <c r="F47" s="3"/>
      <c r="G47" s="3"/>
      <c r="H47" s="3"/>
      <c r="I47" s="51">
        <f>0.1*(Horaires356734512[[#This Row],[Heures de nuit]]+Horaires356734512[[#This Row],[heures jour dimanche]]+Horaires356734512[[#This Row],[heures jour fériés]])</f>
        <v>0</v>
      </c>
      <c r="J47" s="52">
        <f>(MOD(Horaires356734512[[#This Row],[Fin]]-Horaires356734512[[#This Row],[début]],1)-MOD(Horaires356734512[[#This Row],[PNP Fin]]-Horaires356734512[[#This Row],[PNP Début]],1))*24</f>
        <v>0</v>
      </c>
      <c r="K47" s="53">
        <f>IF(Horaires356734512[[#This Row],[PNP Début]]=0,0,IF(Horaires356734512[[#This Row],[PNP Début]]&lt;Horaires356734512[[#This Row],[début]],1,0)+Horaires356734512[[#This Row],[PNP Début]])</f>
        <v>0</v>
      </c>
      <c r="L47" s="54">
        <f>IF(Horaires356734512[[#This Row],[PNP Fin]]=0,0,IF(Horaires356734512[[#This Row],[PNP Fin]]&lt;Horaires356734512[[#This Row],[début]],1,0)+Horaires356734512[[#This Row],[PNP Fin]])</f>
        <v>0</v>
      </c>
      <c r="M47" s="54">
        <f>IF(Horaires356734512[[#This Row],[Fin]]&lt;Horaires356734512[[#This Row],[début]],1,0)+Horaires356734512[[#This Row],[Fin]]</f>
        <v>0</v>
      </c>
      <c r="N47" s="35">
        <f>IF(Horaires356734512[[#This Row],[Fin]]&lt;Horaires356734512[[#This Row],[début]],MAX(0,MIN(Horaires356734512[[#This Row],[Fin corrigée si nuit]],fin_nuit)-MAX(Horaires356734512[[#This Row],[début]],deb_nuit))*24,(MAX(deb_nuit,Horaires356734512[[#This Row],[Fin]])-MAX(deb_nuit,Horaires356734512[[#This Row],[début]])+MAX(MIN(fin_nuit-1,Horaires356734512[[#This Row],[Fin]])-MIN(fin_nuit-1,Horaires356734512[[#This Row],[début]]),0))*24)</f>
        <v>0</v>
      </c>
      <c r="O47" s="55">
        <f>(MAX(0,MIN(Horaires356734512[[#This Row],[Fin corrigée si nuit]],fin_nuit)-MAX(Horaires356734512[[#This Row],[début]],deb_nuit))-IF(Horaires356734512[[#This Row],[PNP Début]]=0,0,MIN(Horaires356734512[[#This Row],[PNP Fin corrigée]],fin_nuit)-MAX(Horaires356734512[[#This Row],[PNP Début corrigé]],deb_nuit)))*24</f>
        <v>0</v>
      </c>
      <c r="P47" s="55">
        <f>(IF(WEEKDAY(Horaires356734512[[#This Row],[Date]],2)=7,MAX(0,MIN(fin_dimJF,Horaires356734512[[#This Row],[Fin corrigée si nuit]])-MAX(deb_dimJF,Horaires356734512[[#This Row],[début]])),0)+IF(WEEKDAY(Horaires356734512[[#This Row],[Date]],2)=6,MAX(0,Horaires356734512[[#This Row],[Fin corrigée si nuit]]-(1+deb_dimJF)),0))*24</f>
        <v>0</v>
      </c>
      <c r="Q47" s="55">
        <f>(IF(WEEKDAY(Horaires356734512[[#This Row],[Date]],2)=7,MAX(0,MIN(fin_dimJF,Horaires356734512[[#This Row],[Fin corrigée si nuit]])-MAX(deb_dimJF,Horaires356734512[[#This Row],[début]])),0)+IF(WEEKDAY(Horaires356734512[[#This Row],[Date]],2)=6,MAX(0,Horaires356734512[[#This Row],[Fin corrigée si nuit]]-(1+deb_dimJF)),0))*24-
(IF(WEEKDAY(Horaires356734512[[#This Row],[Date]],2)=7,MAX(0,MIN(fin_dimJF,Horaires356734512[[#This Row],[PNP Fin corrigée]])-MAX(deb_dimJF,Horaires356734512[[#This Row],[PNP Début corrigé]])),0)+IF(WEEKDAY(Horaires356734512[[#This Row],[Date]],2)=6,MAX(0,Horaires356734512[[#This Row],[PNP Fin corrigée]]-(1+deb_dimJF)),0))*24</f>
        <v>0</v>
      </c>
      <c r="R47" s="55">
        <f>(IF(COUNTIF(JF,Horaires356734512[[#This Row],[Date]]),MAX(0,MIN(fin_dimJF,Horaires356734512[[#This Row],[Fin corrigée si nuit]])-MAX(deb_dimJF,Horaires356734512[[#This Row],[début]])),0)+IF(COUNTIF(JF,Horaires356734512[[#This Row],[Date]]+1),MAX(0,Horaires356734512[[#This Row],[Fin corrigée si nuit]]-(1+deb_dimJF)),0))*24</f>
        <v>0</v>
      </c>
      <c r="S47" s="55">
        <f>(IF(COUNTIF(JF,Horaires356734512[[#This Row],[Date]]),MAX(0,MIN(fin_dimJF,Horaires356734512[[#This Row],[Fin corrigée si nuit]])-MAX(deb_dimJF,Horaires356734512[[#This Row],[début]])),0)+IF(COUNTIF(JF,Horaires356734512[[#This Row],[Date]]+1),MAX(0,Horaires356734512[[#This Row],[Fin corrigée si nuit]]-(1+deb_dimJF)),0))*24-
(IF(COUNTIF(JF,Horaires356734512[[#This Row],[Date]]),MAX(0,MIN(fin_dimJF,Horaires356734512[[#This Row],[PNP Fin corrigée]])-MAX(deb_dimJF,Horaires356734512[[#This Row],[PNP Début corrigé]])),0)+IF(COUNTIF(JF,Horaires356734512[[#This Row],[Date]]+1),MAX(0,Horaires356734512[[#This Row],[PNP Fin corrigée]]-(1+deb_dimJF)),0))*24</f>
        <v>0</v>
      </c>
    </row>
    <row r="48" spans="1:19" x14ac:dyDescent="0.35">
      <c r="A48" s="5"/>
      <c r="B48" s="1"/>
      <c r="C48" s="2"/>
      <c r="D48" s="2"/>
      <c r="E48" s="3"/>
      <c r="F48" s="3"/>
      <c r="G48" s="3"/>
      <c r="H48" s="3"/>
      <c r="I48" s="51">
        <f>0.1*(Horaires356734512[[#This Row],[Heures de nuit]]+Horaires356734512[[#This Row],[heures jour dimanche]]+Horaires356734512[[#This Row],[heures jour fériés]])</f>
        <v>0</v>
      </c>
      <c r="J48" s="52">
        <f>(MOD(Horaires356734512[[#This Row],[Fin]]-Horaires356734512[[#This Row],[début]],1)-MOD(Horaires356734512[[#This Row],[PNP Fin]]-Horaires356734512[[#This Row],[PNP Début]],1))*24</f>
        <v>0</v>
      </c>
      <c r="K48" s="53">
        <f>IF(Horaires356734512[[#This Row],[PNP Début]]=0,0,IF(Horaires356734512[[#This Row],[PNP Début]]&lt;Horaires356734512[[#This Row],[début]],1,0)+Horaires356734512[[#This Row],[PNP Début]])</f>
        <v>0</v>
      </c>
      <c r="L48" s="54">
        <f>IF(Horaires356734512[[#This Row],[PNP Fin]]=0,0,IF(Horaires356734512[[#This Row],[PNP Fin]]&lt;Horaires356734512[[#This Row],[début]],1,0)+Horaires356734512[[#This Row],[PNP Fin]])</f>
        <v>0</v>
      </c>
      <c r="M48" s="54">
        <f>IF(Horaires356734512[[#This Row],[Fin]]&lt;Horaires356734512[[#This Row],[début]],1,0)+Horaires356734512[[#This Row],[Fin]]</f>
        <v>0</v>
      </c>
      <c r="N48" s="35">
        <f>IF(Horaires356734512[[#This Row],[Fin]]&lt;Horaires356734512[[#This Row],[début]],MAX(0,MIN(Horaires356734512[[#This Row],[Fin corrigée si nuit]],fin_nuit)-MAX(Horaires356734512[[#This Row],[début]],deb_nuit))*24,(MAX(deb_nuit,Horaires356734512[[#This Row],[Fin]])-MAX(deb_nuit,Horaires356734512[[#This Row],[début]])+MAX(MIN(fin_nuit-1,Horaires356734512[[#This Row],[Fin]])-MIN(fin_nuit-1,Horaires356734512[[#This Row],[début]]),0))*24)</f>
        <v>0</v>
      </c>
      <c r="O48" s="55">
        <f>(MAX(0,MIN(Horaires356734512[[#This Row],[Fin corrigée si nuit]],fin_nuit)-MAX(Horaires356734512[[#This Row],[début]],deb_nuit))-IF(Horaires356734512[[#This Row],[PNP Début]]=0,0,MIN(Horaires356734512[[#This Row],[PNP Fin corrigée]],fin_nuit)-MAX(Horaires356734512[[#This Row],[PNP Début corrigé]],deb_nuit)))*24</f>
        <v>0</v>
      </c>
      <c r="P48" s="55">
        <f>(IF(WEEKDAY(Horaires356734512[[#This Row],[Date]],2)=7,MAX(0,MIN(fin_dimJF,Horaires356734512[[#This Row],[Fin corrigée si nuit]])-MAX(deb_dimJF,Horaires356734512[[#This Row],[début]])),0)+IF(WEEKDAY(Horaires356734512[[#This Row],[Date]],2)=6,MAX(0,Horaires356734512[[#This Row],[Fin corrigée si nuit]]-(1+deb_dimJF)),0))*24</f>
        <v>0</v>
      </c>
      <c r="Q48" s="55">
        <f>(IF(WEEKDAY(Horaires356734512[[#This Row],[Date]],2)=7,MAX(0,MIN(fin_dimJF,Horaires356734512[[#This Row],[Fin corrigée si nuit]])-MAX(deb_dimJF,Horaires356734512[[#This Row],[début]])),0)+IF(WEEKDAY(Horaires356734512[[#This Row],[Date]],2)=6,MAX(0,Horaires356734512[[#This Row],[Fin corrigée si nuit]]-(1+deb_dimJF)),0))*24-
(IF(WEEKDAY(Horaires356734512[[#This Row],[Date]],2)=7,MAX(0,MIN(fin_dimJF,Horaires356734512[[#This Row],[PNP Fin corrigée]])-MAX(deb_dimJF,Horaires356734512[[#This Row],[PNP Début corrigé]])),0)+IF(WEEKDAY(Horaires356734512[[#This Row],[Date]],2)=6,MAX(0,Horaires356734512[[#This Row],[PNP Fin corrigée]]-(1+deb_dimJF)),0))*24</f>
        <v>0</v>
      </c>
      <c r="R48" s="55">
        <f>(IF(COUNTIF(JF,Horaires356734512[[#This Row],[Date]]),MAX(0,MIN(fin_dimJF,Horaires356734512[[#This Row],[Fin corrigée si nuit]])-MAX(deb_dimJF,Horaires356734512[[#This Row],[début]])),0)+IF(COUNTIF(JF,Horaires356734512[[#This Row],[Date]]+1),MAX(0,Horaires356734512[[#This Row],[Fin corrigée si nuit]]-(1+deb_dimJF)),0))*24</f>
        <v>0</v>
      </c>
      <c r="S48" s="55">
        <f>(IF(COUNTIF(JF,Horaires356734512[[#This Row],[Date]]),MAX(0,MIN(fin_dimJF,Horaires356734512[[#This Row],[Fin corrigée si nuit]])-MAX(deb_dimJF,Horaires356734512[[#This Row],[début]])),0)+IF(COUNTIF(JF,Horaires356734512[[#This Row],[Date]]+1),MAX(0,Horaires356734512[[#This Row],[Fin corrigée si nuit]]-(1+deb_dimJF)),0))*24-
(IF(COUNTIF(JF,Horaires356734512[[#This Row],[Date]]),MAX(0,MIN(fin_dimJF,Horaires356734512[[#This Row],[PNP Fin corrigée]])-MAX(deb_dimJF,Horaires356734512[[#This Row],[PNP Début corrigé]])),0)+IF(COUNTIF(JF,Horaires356734512[[#This Row],[Date]]+1),MAX(0,Horaires356734512[[#This Row],[PNP Fin corrigée]]-(1+deb_dimJF)),0))*24</f>
        <v>0</v>
      </c>
    </row>
    <row r="49" spans="1:19" ht="15" thickBot="1" x14ac:dyDescent="0.4">
      <c r="A49" s="5"/>
      <c r="B49" s="1"/>
      <c r="C49" s="2"/>
      <c r="D49" s="2"/>
      <c r="E49" s="3"/>
      <c r="F49" s="3"/>
      <c r="G49" s="3"/>
      <c r="H49" s="3"/>
      <c r="I49" s="51">
        <f>0.1*(Horaires356734512[[#This Row],[Heures de nuit]]+Horaires356734512[[#This Row],[heures jour dimanche]]+Horaires356734512[[#This Row],[heures jour fériés]])</f>
        <v>0</v>
      </c>
      <c r="J49" s="52">
        <f>(MOD(Horaires356734512[[#This Row],[Fin]]-Horaires356734512[[#This Row],[début]],1)-MOD(Horaires356734512[[#This Row],[PNP Fin]]-Horaires356734512[[#This Row],[PNP Début]],1))*24</f>
        <v>0</v>
      </c>
      <c r="K49" s="53">
        <f>IF(Horaires356734512[[#This Row],[PNP Début]]=0,0,IF(Horaires356734512[[#This Row],[PNP Début]]&lt;Horaires356734512[[#This Row],[début]],1,0)+Horaires356734512[[#This Row],[PNP Début]])</f>
        <v>0</v>
      </c>
      <c r="L49" s="54">
        <f>IF(Horaires356734512[[#This Row],[PNP Fin]]=0,0,IF(Horaires356734512[[#This Row],[PNP Fin]]&lt;Horaires356734512[[#This Row],[début]],1,0)+Horaires356734512[[#This Row],[PNP Fin]])</f>
        <v>0</v>
      </c>
      <c r="M49" s="54">
        <f>IF(Horaires356734512[[#This Row],[Fin]]&lt;Horaires356734512[[#This Row],[début]],1,0)+Horaires356734512[[#This Row],[Fin]]</f>
        <v>0</v>
      </c>
      <c r="N49" s="35">
        <f>IF(Horaires356734512[[#This Row],[Fin]]&lt;Horaires356734512[[#This Row],[début]],MAX(0,MIN(Horaires356734512[[#This Row],[Fin corrigée si nuit]],fin_nuit)-MAX(Horaires356734512[[#This Row],[début]],deb_nuit))*24,(MAX(deb_nuit,Horaires356734512[[#This Row],[Fin]])-MAX(deb_nuit,Horaires356734512[[#This Row],[début]])+MAX(MIN(fin_nuit-1,Horaires356734512[[#This Row],[Fin]])-MIN(fin_nuit-1,Horaires356734512[[#This Row],[début]]),0))*24)</f>
        <v>0</v>
      </c>
      <c r="O49" s="55">
        <f>(MAX(0,MIN(Horaires356734512[[#This Row],[Fin corrigée si nuit]],fin_nuit)-MAX(Horaires356734512[[#This Row],[début]],deb_nuit))-IF(Horaires356734512[[#This Row],[PNP Début]]=0,0,MIN(Horaires356734512[[#This Row],[PNP Fin corrigée]],fin_nuit)-MAX(Horaires356734512[[#This Row],[PNP Début corrigé]],deb_nuit)))*24</f>
        <v>0</v>
      </c>
      <c r="P49" s="55">
        <f>(IF(WEEKDAY(Horaires356734512[[#This Row],[Date]],2)=7,MAX(0,MIN(fin_dimJF,Horaires356734512[[#This Row],[Fin corrigée si nuit]])-MAX(deb_dimJF,Horaires356734512[[#This Row],[début]])),0)+IF(WEEKDAY(Horaires356734512[[#This Row],[Date]],2)=6,MAX(0,Horaires356734512[[#This Row],[Fin corrigée si nuit]]-(1+deb_dimJF)),0))*24</f>
        <v>0</v>
      </c>
      <c r="Q49" s="55">
        <f>(IF(WEEKDAY(Horaires356734512[[#This Row],[Date]],2)=7,MAX(0,MIN(fin_dimJF,Horaires356734512[[#This Row],[Fin corrigée si nuit]])-MAX(deb_dimJF,Horaires356734512[[#This Row],[début]])),0)+IF(WEEKDAY(Horaires356734512[[#This Row],[Date]],2)=6,MAX(0,Horaires356734512[[#This Row],[Fin corrigée si nuit]]-(1+deb_dimJF)),0))*24-
(IF(WEEKDAY(Horaires356734512[[#This Row],[Date]],2)=7,MAX(0,MIN(fin_dimJF,Horaires356734512[[#This Row],[PNP Fin corrigée]])-MAX(deb_dimJF,Horaires356734512[[#This Row],[PNP Début corrigé]])),0)+IF(WEEKDAY(Horaires356734512[[#This Row],[Date]],2)=6,MAX(0,Horaires356734512[[#This Row],[PNP Fin corrigée]]-(1+deb_dimJF)),0))*24</f>
        <v>0</v>
      </c>
      <c r="R49" s="55">
        <f>(IF(COUNTIF(JF,Horaires356734512[[#This Row],[Date]]),MAX(0,MIN(fin_dimJF,Horaires356734512[[#This Row],[Fin corrigée si nuit]])-MAX(deb_dimJF,Horaires356734512[[#This Row],[début]])),0)+IF(COUNTIF(JF,Horaires356734512[[#This Row],[Date]]+1),MAX(0,Horaires356734512[[#This Row],[Fin corrigée si nuit]]-(1+deb_dimJF)),0))*24</f>
        <v>0</v>
      </c>
      <c r="S49" s="55">
        <f>(IF(COUNTIF(JF,Horaires356734512[[#This Row],[Date]]),MAX(0,MIN(fin_dimJF,Horaires356734512[[#This Row],[Fin corrigée si nuit]])-MAX(deb_dimJF,Horaires356734512[[#This Row],[début]])),0)+IF(COUNTIF(JF,Horaires356734512[[#This Row],[Date]]+1),MAX(0,Horaires356734512[[#This Row],[Fin corrigée si nuit]]-(1+deb_dimJF)),0))*24-
(IF(COUNTIF(JF,Horaires356734512[[#This Row],[Date]]),MAX(0,MIN(fin_dimJF,Horaires356734512[[#This Row],[PNP Fin corrigée]])-MAX(deb_dimJF,Horaires356734512[[#This Row],[PNP Début corrigé]])),0)+IF(COUNTIF(JF,Horaires356734512[[#This Row],[Date]]+1),MAX(0,Horaires356734512[[#This Row],[PNP Fin corrigée]]-(1+deb_dimJF)),0))*24</f>
        <v>0</v>
      </c>
    </row>
    <row r="50" spans="1:19" ht="16" thickBot="1" x14ac:dyDescent="0.4">
      <c r="A50" s="56"/>
      <c r="B50" s="19"/>
      <c r="C50" s="19"/>
      <c r="D50" s="19"/>
      <c r="E50" s="113" t="s">
        <v>29</v>
      </c>
      <c r="F50" s="114"/>
      <c r="G50" s="114"/>
      <c r="H50" s="115"/>
      <c r="I50" s="57">
        <f>SUM(Horaires356734512[Majoration])</f>
        <v>0</v>
      </c>
      <c r="J50" s="58">
        <f>SUM(Horaires356734512[Heures totales payées])</f>
        <v>0</v>
      </c>
      <c r="K50" s="19"/>
      <c r="L50" s="19"/>
      <c r="M50" s="19"/>
      <c r="N50" s="19"/>
      <c r="O50" s="19"/>
      <c r="P50" s="19"/>
      <c r="Q50" s="19"/>
      <c r="R50" s="19"/>
      <c r="S50" s="19"/>
    </row>
    <row r="51" spans="1:19" ht="17.399999999999999" customHeight="1" x14ac:dyDescent="0.35">
      <c r="A51" s="116" t="s">
        <v>30</v>
      </c>
      <c r="B51" s="116"/>
      <c r="C51" s="116"/>
      <c r="D51" s="116"/>
      <c r="E51" s="19"/>
      <c r="F51" s="19"/>
      <c r="G51" s="117" t="s">
        <v>31</v>
      </c>
      <c r="H51" s="117"/>
      <c r="I51" s="117"/>
      <c r="J51" s="117"/>
      <c r="K51" s="19"/>
      <c r="L51" s="19"/>
      <c r="M51" s="19"/>
      <c r="N51" s="19"/>
      <c r="O51" s="19"/>
      <c r="P51" s="19"/>
      <c r="Q51" s="19"/>
      <c r="R51" s="19"/>
      <c r="S51" s="19"/>
    </row>
    <row r="52" spans="1:19" x14ac:dyDescent="0.35">
      <c r="A52" s="118"/>
      <c r="B52" s="119"/>
      <c r="C52" s="119"/>
      <c r="D52" s="120"/>
      <c r="E52" s="56"/>
      <c r="F52" s="19"/>
      <c r="G52" s="118"/>
      <c r="H52" s="119"/>
      <c r="I52" s="119"/>
      <c r="J52" s="119"/>
      <c r="K52" s="19"/>
      <c r="L52" s="19"/>
      <c r="M52" s="19"/>
      <c r="N52" s="19"/>
      <c r="O52" s="19"/>
      <c r="P52" s="19"/>
      <c r="Q52" s="19"/>
      <c r="R52" s="19"/>
      <c r="S52" s="19"/>
    </row>
    <row r="53" spans="1:19" x14ac:dyDescent="0.35">
      <c r="A53" s="121"/>
      <c r="B53" s="122"/>
      <c r="C53" s="122"/>
      <c r="D53" s="123"/>
      <c r="E53" s="19"/>
      <c r="F53" s="19"/>
      <c r="G53" s="121"/>
      <c r="H53" s="122"/>
      <c r="I53" s="122"/>
      <c r="J53" s="122"/>
      <c r="K53" s="19"/>
      <c r="L53" s="19"/>
      <c r="M53" s="19"/>
      <c r="N53" s="19"/>
      <c r="O53" s="19"/>
      <c r="P53" s="19"/>
      <c r="Q53" s="19"/>
      <c r="R53" s="19"/>
      <c r="S53" s="19"/>
    </row>
    <row r="54" spans="1:19" ht="7.75" customHeight="1" x14ac:dyDescent="0.35">
      <c r="A54" s="124"/>
      <c r="B54" s="125"/>
      <c r="C54" s="125"/>
      <c r="D54" s="126"/>
      <c r="E54" s="56"/>
      <c r="F54" s="19"/>
      <c r="G54" s="124"/>
      <c r="H54" s="125"/>
      <c r="I54" s="125"/>
      <c r="J54" s="125"/>
      <c r="K54" s="19"/>
      <c r="L54" s="19"/>
      <c r="M54" s="19"/>
      <c r="N54" s="19"/>
      <c r="O54" s="19"/>
      <c r="P54" s="19"/>
      <c r="Q54" s="19"/>
      <c r="R54" s="19"/>
      <c r="S54" s="19"/>
    </row>
    <row r="55" spans="1:19" x14ac:dyDescent="0.35">
      <c r="A55" s="56"/>
      <c r="B55" s="19"/>
      <c r="C55" s="19"/>
      <c r="D55" s="19"/>
      <c r="E55" s="19"/>
      <c r="F55" s="19"/>
      <c r="G55" s="19"/>
      <c r="H55" s="19"/>
      <c r="I55" s="19"/>
      <c r="J55" s="62"/>
      <c r="K55" s="19"/>
      <c r="L55" s="19"/>
      <c r="M55" s="19"/>
      <c r="N55" s="19"/>
      <c r="O55" s="19"/>
      <c r="P55" s="19"/>
      <c r="Q55" s="19"/>
      <c r="R55" s="19"/>
      <c r="S55" s="19"/>
    </row>
    <row r="56" spans="1:19" x14ac:dyDescent="0.35">
      <c r="A56" s="19"/>
      <c r="B56" s="19"/>
      <c r="C56" s="19"/>
      <c r="D56" s="19"/>
      <c r="E56" s="19"/>
      <c r="F56" s="19"/>
      <c r="G56" s="19"/>
      <c r="H56" s="19"/>
      <c r="I56" s="19"/>
      <c r="J56" s="20"/>
      <c r="K56" s="19"/>
      <c r="L56" s="19"/>
      <c r="M56" s="19"/>
      <c r="N56" s="19"/>
      <c r="O56" s="19"/>
      <c r="P56" s="19"/>
      <c r="Q56" s="19"/>
      <c r="R56" s="19"/>
      <c r="S56" s="19"/>
    </row>
    <row r="57" spans="1:19" x14ac:dyDescent="0.35">
      <c r="A57" s="19"/>
      <c r="B57" s="19"/>
      <c r="C57" s="19"/>
      <c r="D57" s="19"/>
      <c r="E57" s="19"/>
      <c r="F57" s="19"/>
      <c r="G57" s="19"/>
      <c r="H57" s="19"/>
      <c r="I57" s="19"/>
      <c r="J57" s="20"/>
      <c r="K57" s="19"/>
      <c r="L57" s="19"/>
      <c r="M57" s="19"/>
      <c r="N57" s="19"/>
      <c r="O57" s="19"/>
      <c r="P57" s="19"/>
      <c r="Q57" s="19"/>
      <c r="R57" s="19"/>
      <c r="S57" s="19"/>
    </row>
    <row r="58" spans="1:19" x14ac:dyDescent="0.35">
      <c r="A58" s="19"/>
      <c r="B58" s="19"/>
      <c r="C58" s="19"/>
      <c r="D58" s="19"/>
      <c r="E58" s="19"/>
      <c r="F58" s="19"/>
      <c r="G58" s="19"/>
      <c r="H58" s="19"/>
      <c r="I58" s="19"/>
      <c r="J58" s="20"/>
      <c r="K58" s="19"/>
      <c r="L58" s="19"/>
      <c r="M58" s="19"/>
      <c r="N58" s="19"/>
      <c r="O58" s="19"/>
      <c r="P58" s="19"/>
      <c r="Q58" s="19"/>
      <c r="R58" s="19"/>
      <c r="S58" s="19"/>
    </row>
    <row r="59" spans="1:19" x14ac:dyDescent="0.35">
      <c r="A59" s="19"/>
      <c r="B59" s="19"/>
      <c r="C59" s="19"/>
      <c r="D59" s="19"/>
      <c r="E59" s="19"/>
      <c r="F59" s="19"/>
      <c r="G59" s="19"/>
      <c r="H59" s="19"/>
      <c r="I59" s="19"/>
      <c r="J59" s="20"/>
      <c r="K59" s="19"/>
      <c r="L59" s="19"/>
      <c r="M59" s="19"/>
      <c r="N59" s="19"/>
      <c r="O59" s="19"/>
      <c r="P59" s="19"/>
      <c r="Q59" s="19"/>
      <c r="R59" s="19"/>
      <c r="S59" s="19"/>
    </row>
    <row r="60" spans="1:19" x14ac:dyDescent="0.35">
      <c r="A60" s="19"/>
      <c r="B60" s="19"/>
      <c r="C60" s="19"/>
      <c r="D60" s="19"/>
      <c r="E60" s="19"/>
      <c r="F60" s="19"/>
      <c r="G60" s="19"/>
      <c r="H60" s="19"/>
      <c r="I60" s="19"/>
      <c r="J60" s="20"/>
      <c r="K60" s="19"/>
      <c r="L60" s="19"/>
      <c r="M60" s="19"/>
      <c r="N60" s="19"/>
      <c r="O60" s="19"/>
      <c r="P60" s="19"/>
      <c r="Q60" s="19"/>
      <c r="R60" s="19"/>
      <c r="S60" s="19"/>
    </row>
  </sheetData>
  <sheetProtection selectLockedCells="1"/>
  <mergeCells count="19">
    <mergeCell ref="E50:H50"/>
    <mergeCell ref="A51:D51"/>
    <mergeCell ref="G51:J51"/>
    <mergeCell ref="A52:D54"/>
    <mergeCell ref="G52:J54"/>
    <mergeCell ref="A1:B2"/>
    <mergeCell ref="A3:J4"/>
    <mergeCell ref="D5:F5"/>
    <mergeCell ref="G5:H5"/>
    <mergeCell ref="J9:J11"/>
    <mergeCell ref="C10:C11"/>
    <mergeCell ref="D10:D11"/>
    <mergeCell ref="E10:F10"/>
    <mergeCell ref="G10:H10"/>
    <mergeCell ref="A9:A11"/>
    <mergeCell ref="B9:B11"/>
    <mergeCell ref="C9:D9"/>
    <mergeCell ref="E9:H9"/>
    <mergeCell ref="I9:I11"/>
  </mergeCells>
  <dataValidations count="3">
    <dataValidation type="date" operator="greaterThan" allowBlank="1" showInputMessage="1" showErrorMessage="1" error="Tapez le mois sous le format suivant_x000a_09/17" promptTitle="Mois du relevé" sqref="I5:J5">
      <formula1>42736</formula1>
    </dataValidation>
    <dataValidation type="time" allowBlank="1" showInputMessage="1" showErrorMessage="1" error="Tapez les heures sous le format_x000a_00:00" sqref="C13:H49">
      <formula1>0</formula1>
      <formula2>0.999305555555556</formula2>
    </dataValidation>
    <dataValidation allowBlank="1" showInputMessage="1" showErrorMessage="1" error="Tapez les heures sous le format_x000a_00:00" sqref="K12:N49"/>
  </dataValidations>
  <printOptions horizontalCentered="1"/>
  <pageMargins left="0" right="0" top="0" bottom="0" header="0" footer="0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14337" r:id="rId4" name="CommandButton1">
          <controlPr defaultSize="0" print="0" autoLine="0" r:id="rId5">
            <anchor moveWithCells="1">
              <from>
                <xdr:col>9</xdr:col>
                <xdr:colOff>774700</xdr:colOff>
                <xdr:row>0</xdr:row>
                <xdr:rowOff>177800</xdr:rowOff>
              </from>
              <to>
                <xdr:col>20</xdr:col>
                <xdr:colOff>0</xdr:colOff>
                <xdr:row>4</xdr:row>
                <xdr:rowOff>63500</xdr:rowOff>
              </to>
            </anchor>
          </controlPr>
        </control>
      </mc:Choice>
      <mc:Fallback>
        <control shapeId="14337" r:id="rId4" name="CommandButton1"/>
      </mc:Fallback>
    </mc:AlternateContent>
  </controls>
  <tableParts count="1">
    <tablePart r:id="rId6"/>
  </tableParts>
</worksheet>
</file>

<file path=xl/worksheets/sheet1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5"/>
  <dimension ref="A1:S60"/>
  <sheetViews>
    <sheetView workbookViewId="0">
      <selection activeCell="A23" sqref="A23"/>
    </sheetView>
  </sheetViews>
  <sheetFormatPr baseColWidth="10" defaultRowHeight="14.5" x14ac:dyDescent="0.35"/>
  <cols>
    <col min="1" max="1" width="20.54296875" customWidth="1"/>
    <col min="2" max="2" width="12.90625" customWidth="1"/>
    <col min="3" max="3" width="8.90625" customWidth="1"/>
    <col min="4" max="4" width="7.453125" customWidth="1"/>
    <col min="5" max="5" width="7" customWidth="1"/>
    <col min="6" max="6" width="6.81640625" customWidth="1"/>
    <col min="7" max="7" width="7" customWidth="1"/>
    <col min="8" max="8" width="7.81640625" customWidth="1"/>
    <col min="9" max="9" width="10.81640625" customWidth="1"/>
    <col min="10" max="10" width="11.54296875" style="15" customWidth="1"/>
    <col min="11" max="11" width="14.453125" hidden="1" customWidth="1"/>
    <col min="12" max="12" width="12.08984375" hidden="1" customWidth="1"/>
    <col min="13" max="13" width="15" hidden="1" customWidth="1"/>
    <col min="14" max="15" width="13.81640625" hidden="1" customWidth="1"/>
    <col min="16" max="19" width="15" hidden="1" customWidth="1"/>
  </cols>
  <sheetData>
    <row r="1" spans="1:19" ht="15.65" customHeight="1" x14ac:dyDescent="0.35">
      <c r="A1" s="101"/>
      <c r="B1" s="101"/>
      <c r="C1" s="16"/>
      <c r="D1" s="16"/>
      <c r="E1" s="17"/>
      <c r="F1" s="17"/>
      <c r="G1" s="17"/>
      <c r="H1" s="18" t="s">
        <v>35</v>
      </c>
      <c r="I1" s="18"/>
      <c r="J1" s="18"/>
      <c r="K1" s="16"/>
      <c r="L1" s="16"/>
      <c r="M1" s="16"/>
      <c r="N1" s="16"/>
      <c r="O1" s="19"/>
      <c r="P1" s="19"/>
      <c r="Q1" s="19"/>
      <c r="R1" s="19"/>
      <c r="S1" s="19"/>
    </row>
    <row r="2" spans="1:19" ht="14.4" customHeight="1" x14ac:dyDescent="0.35">
      <c r="A2" s="101"/>
      <c r="B2" s="101"/>
      <c r="C2" s="16"/>
      <c r="D2" s="16"/>
      <c r="E2" s="16"/>
      <c r="F2" s="16"/>
      <c r="G2" s="16"/>
      <c r="H2" s="16"/>
      <c r="I2" s="16"/>
      <c r="J2" s="20"/>
      <c r="K2" s="16"/>
      <c r="L2" s="16"/>
      <c r="M2" s="16"/>
      <c r="N2" s="16"/>
      <c r="O2" s="19"/>
      <c r="P2" s="19"/>
      <c r="Q2" s="19"/>
      <c r="R2" s="19"/>
      <c r="S2" s="19"/>
    </row>
    <row r="3" spans="1:19" ht="14.4" customHeight="1" x14ac:dyDescent="0.35">
      <c r="A3" s="102" t="s">
        <v>37</v>
      </c>
      <c r="B3" s="102"/>
      <c r="C3" s="102"/>
      <c r="D3" s="102"/>
      <c r="E3" s="102"/>
      <c r="F3" s="102"/>
      <c r="G3" s="102"/>
      <c r="H3" s="102"/>
      <c r="I3" s="102"/>
      <c r="J3" s="102"/>
      <c r="K3" s="16"/>
      <c r="L3" s="16"/>
      <c r="M3" s="16"/>
      <c r="N3" s="16"/>
      <c r="O3" s="19"/>
      <c r="P3" s="19"/>
      <c r="Q3" s="19"/>
      <c r="R3" s="19"/>
      <c r="S3" s="19"/>
    </row>
    <row r="4" spans="1:19" ht="19.25" customHeight="1" thickBot="1" x14ac:dyDescent="0.4">
      <c r="A4" s="103"/>
      <c r="B4" s="103"/>
      <c r="C4" s="103"/>
      <c r="D4" s="103"/>
      <c r="E4" s="103"/>
      <c r="F4" s="103"/>
      <c r="G4" s="103"/>
      <c r="H4" s="103"/>
      <c r="I4" s="103"/>
      <c r="J4" s="103"/>
      <c r="K4" s="19"/>
      <c r="L4" s="19"/>
      <c r="M4" s="19"/>
      <c r="N4" s="19"/>
      <c r="O4" s="19"/>
      <c r="P4" s="19"/>
      <c r="Q4" s="19"/>
      <c r="R4" s="19"/>
      <c r="S4" s="19"/>
    </row>
    <row r="5" spans="1:19" ht="19.75" customHeight="1" x14ac:dyDescent="0.35">
      <c r="A5" s="95" t="s">
        <v>113</v>
      </c>
      <c r="B5" s="96">
        <f>'Janvier 18'!B5</f>
        <v>0</v>
      </c>
      <c r="C5" s="21" t="s">
        <v>36</v>
      </c>
      <c r="D5" s="104">
        <f>'Janvier 18'!D5:F5</f>
        <v>0</v>
      </c>
      <c r="E5" s="105"/>
      <c r="F5" s="105"/>
      <c r="G5" s="106" t="s">
        <v>22</v>
      </c>
      <c r="H5" s="106"/>
      <c r="I5" s="64" t="str">
        <f ca="1">MID(CELL("filename",A1),FIND("]",CELL("filename",A1))+1,99)</f>
        <v>Décembre 18</v>
      </c>
      <c r="J5" s="97"/>
      <c r="K5" s="19"/>
      <c r="L5" s="19"/>
      <c r="M5" s="19"/>
      <c r="N5" s="19"/>
      <c r="O5" s="19"/>
      <c r="P5" s="19"/>
      <c r="Q5" s="19"/>
      <c r="R5" s="19"/>
      <c r="S5" s="19"/>
    </row>
    <row r="6" spans="1:19" ht="9.65" customHeight="1" x14ac:dyDescent="0.35">
      <c r="A6" s="22"/>
      <c r="B6" s="23"/>
      <c r="C6" s="23"/>
      <c r="D6" s="23"/>
      <c r="E6" s="23"/>
      <c r="F6" s="23"/>
      <c r="G6" s="23"/>
      <c r="H6" s="23"/>
      <c r="I6" s="23"/>
      <c r="J6" s="24"/>
      <c r="K6" s="19"/>
      <c r="L6" s="19"/>
      <c r="M6" s="19"/>
      <c r="N6" s="19"/>
      <c r="O6" s="19"/>
      <c r="P6" s="19"/>
      <c r="Q6" s="19"/>
      <c r="R6" s="19"/>
      <c r="S6" s="19"/>
    </row>
    <row r="7" spans="1:19" ht="15" thickBot="1" x14ac:dyDescent="0.4">
      <c r="A7" s="59" t="s">
        <v>23</v>
      </c>
      <c r="B7" s="98">
        <f>'Janvier 18'!B7</f>
        <v>0</v>
      </c>
      <c r="C7" s="25" t="s">
        <v>24</v>
      </c>
      <c r="D7" s="25"/>
      <c r="E7" s="98">
        <f>'Janvier 18'!E7</f>
        <v>0</v>
      </c>
      <c r="F7" s="25"/>
      <c r="G7" s="25"/>
      <c r="H7" s="25"/>
      <c r="I7" s="25"/>
      <c r="J7" s="26"/>
      <c r="K7" s="19"/>
      <c r="L7" s="19"/>
      <c r="M7" s="19"/>
      <c r="N7" s="19"/>
      <c r="O7" s="19"/>
      <c r="P7" s="19"/>
      <c r="Q7" s="19"/>
      <c r="R7" s="19"/>
      <c r="S7" s="19"/>
    </row>
    <row r="8" spans="1:19" ht="9.65" customHeight="1" x14ac:dyDescent="0.35">
      <c r="A8" s="19"/>
      <c r="B8" s="19"/>
      <c r="C8" s="19"/>
      <c r="D8" s="19"/>
      <c r="E8" s="19"/>
      <c r="F8" s="19"/>
      <c r="G8" s="19"/>
      <c r="H8" s="19"/>
      <c r="I8" s="19"/>
      <c r="J8" s="20"/>
      <c r="K8" s="19"/>
      <c r="L8" s="19"/>
      <c r="M8" s="19"/>
      <c r="N8" s="19"/>
      <c r="O8" s="19"/>
      <c r="P8" s="19"/>
      <c r="Q8" s="19"/>
      <c r="R8" s="19"/>
      <c r="S8" s="19"/>
    </row>
    <row r="9" spans="1:19" ht="16.75" customHeight="1" x14ac:dyDescent="0.35">
      <c r="A9" s="111" t="s">
        <v>0</v>
      </c>
      <c r="B9" s="111" t="s">
        <v>1</v>
      </c>
      <c r="C9" s="111" t="s">
        <v>2</v>
      </c>
      <c r="D9" s="111"/>
      <c r="E9" s="110" t="s">
        <v>25</v>
      </c>
      <c r="F9" s="110"/>
      <c r="G9" s="110"/>
      <c r="H9" s="110"/>
      <c r="I9" s="112" t="s">
        <v>21</v>
      </c>
      <c r="J9" s="108" t="s">
        <v>65</v>
      </c>
      <c r="K9" s="19"/>
      <c r="L9" s="19"/>
      <c r="M9" s="19"/>
      <c r="N9" s="19"/>
      <c r="O9" s="19"/>
      <c r="P9" s="19"/>
      <c r="Q9" s="19"/>
      <c r="R9" s="19"/>
      <c r="S9" s="19"/>
    </row>
    <row r="10" spans="1:19" x14ac:dyDescent="0.35">
      <c r="A10" s="111"/>
      <c r="B10" s="111"/>
      <c r="C10" s="109" t="s">
        <v>3</v>
      </c>
      <c r="D10" s="109" t="s">
        <v>4</v>
      </c>
      <c r="E10" s="110" t="s">
        <v>26</v>
      </c>
      <c r="F10" s="110"/>
      <c r="G10" s="110" t="s">
        <v>27</v>
      </c>
      <c r="H10" s="110"/>
      <c r="I10" s="112"/>
      <c r="J10" s="108"/>
      <c r="K10" s="19"/>
      <c r="L10" s="19"/>
      <c r="M10" s="19"/>
      <c r="N10" s="19"/>
      <c r="O10" s="19"/>
      <c r="P10" s="19"/>
      <c r="Q10" s="19"/>
      <c r="R10" s="19"/>
      <c r="S10" s="19"/>
    </row>
    <row r="11" spans="1:19" x14ac:dyDescent="0.35">
      <c r="A11" s="111"/>
      <c r="B11" s="111"/>
      <c r="C11" s="109"/>
      <c r="D11" s="109"/>
      <c r="E11" s="72" t="s">
        <v>28</v>
      </c>
      <c r="F11" s="72" t="s">
        <v>4</v>
      </c>
      <c r="G11" s="72" t="s">
        <v>28</v>
      </c>
      <c r="H11" s="72" t="s">
        <v>4</v>
      </c>
      <c r="I11" s="112"/>
      <c r="J11" s="108"/>
      <c r="K11" s="27"/>
      <c r="L11" s="19"/>
      <c r="M11" s="19"/>
      <c r="N11" s="19"/>
      <c r="O11" s="19"/>
      <c r="P11" s="19"/>
      <c r="Q11" s="19"/>
      <c r="R11" s="19"/>
      <c r="S11" s="19"/>
    </row>
    <row r="12" spans="1:19" s="8" customFormat="1" ht="43.5" hidden="1" x14ac:dyDescent="0.35">
      <c r="A12" s="28" t="s">
        <v>0</v>
      </c>
      <c r="B12" s="29" t="s">
        <v>1</v>
      </c>
      <c r="C12" s="29" t="s">
        <v>3</v>
      </c>
      <c r="D12" s="29" t="s">
        <v>4</v>
      </c>
      <c r="E12" s="29" t="s">
        <v>8</v>
      </c>
      <c r="F12" s="29" t="s">
        <v>9</v>
      </c>
      <c r="G12" s="29" t="s">
        <v>10</v>
      </c>
      <c r="H12" s="29" t="s">
        <v>11</v>
      </c>
      <c r="I12" s="30" t="s">
        <v>21</v>
      </c>
      <c r="J12" s="29" t="s">
        <v>12</v>
      </c>
      <c r="K12" s="29" t="s">
        <v>18</v>
      </c>
      <c r="L12" s="29" t="s">
        <v>19</v>
      </c>
      <c r="M12" s="29" t="s">
        <v>17</v>
      </c>
      <c r="N12" s="29" t="s">
        <v>32</v>
      </c>
      <c r="O12" s="29" t="s">
        <v>20</v>
      </c>
      <c r="P12" s="29" t="s">
        <v>5</v>
      </c>
      <c r="Q12" s="29" t="s">
        <v>33</v>
      </c>
      <c r="R12" s="31" t="s">
        <v>6</v>
      </c>
      <c r="S12" s="31" t="s">
        <v>34</v>
      </c>
    </row>
    <row r="13" spans="1:19" x14ac:dyDescent="0.35">
      <c r="A13" s="5"/>
      <c r="B13" s="1"/>
      <c r="C13" s="2"/>
      <c r="D13" s="2"/>
      <c r="E13" s="3"/>
      <c r="F13" s="3"/>
      <c r="G13" s="3"/>
      <c r="H13" s="3"/>
      <c r="I13" s="32">
        <f>0.1*(Horaires356731011[[#This Row],[Heures de nuit]]+Horaires356731011[[#This Row],[heures jour dimanche]]+Horaires356731011[[#This Row],[heures jour fériés]])</f>
        <v>0</v>
      </c>
      <c r="J13" s="33">
        <f>(MOD(Horaires356731011[[#This Row],[Fin]]-Horaires356731011[[#This Row],[début]],1)-MOD(Horaires356731011[[#This Row],[PNP Fin]]-Horaires356731011[[#This Row],[PNP Début]],1))*24</f>
        <v>0</v>
      </c>
      <c r="K13" s="34">
        <f>IF(Horaires356731011[[#This Row],[PNP Début]]=0,0,IF(Horaires356731011[[#This Row],[PNP Début]]&lt;Horaires356731011[[#This Row],[début]],1,0)+Horaires356731011[[#This Row],[PNP Début]])</f>
        <v>0</v>
      </c>
      <c r="L13" s="34">
        <f>IF(Horaires356731011[[#This Row],[PNP Fin]]=0,0,IF(Horaires356731011[[#This Row],[PNP Fin]]&lt;Horaires356731011[[#This Row],[début]],1,0)+Horaires356731011[[#This Row],[PNP Fin]])</f>
        <v>0</v>
      </c>
      <c r="M13" s="34">
        <f>IF(Horaires356731011[[#This Row],[Fin]]&lt;Horaires356731011[[#This Row],[début]],1,0)+Horaires356731011[[#This Row],[Fin]]</f>
        <v>0</v>
      </c>
      <c r="N13" s="35">
        <f>IF(Horaires356731011[[#This Row],[Fin]]&lt;Horaires356731011[[#This Row],[début]],MAX(0,MIN(Horaires356731011[[#This Row],[Fin corrigée si nuit]],fin_nuit)-MAX(Horaires356731011[[#This Row],[début]],deb_nuit))*24,(MAX(deb_nuit,Horaires356731011[[#This Row],[Fin]])-MAX(deb_nuit,Horaires356731011[[#This Row],[début]])+MAX(MIN(fin_nuit-1,Horaires356731011[[#This Row],[Fin]])-MIN(fin_nuit-1,Horaires356731011[[#This Row],[début]]),0))*24)</f>
        <v>0</v>
      </c>
      <c r="O13" s="35">
        <f>(MAX(0,MIN(Horaires356731011[[#This Row],[Fin corrigée si nuit]],fin_nuit)-MAX(Horaires356731011[[#This Row],[début]],deb_nuit))-IF(Horaires356731011[[#This Row],[PNP Début]]=0,0,MIN(Horaires356731011[[#This Row],[PNP Fin corrigée]],fin_nuit)-MAX(Horaires356731011[[#This Row],[PNP Début corrigé]],deb_nuit)))*24</f>
        <v>0</v>
      </c>
      <c r="P13" s="35">
        <f>(IF(WEEKDAY(Horaires356731011[[#This Row],[Date]],2)=7,MAX(0,MIN(fin_dimJF,Horaires356731011[[#This Row],[Fin corrigée si nuit]])-MAX(deb_dimJF,Horaires356731011[[#This Row],[début]])),0)+IF(WEEKDAY(Horaires356731011[[#This Row],[Date]],2)=6,MAX(0,Horaires356731011[[#This Row],[Fin corrigée si nuit]]-(1+deb_dimJF)),0))*24</f>
        <v>0</v>
      </c>
      <c r="Q13" s="35">
        <f>(IF(WEEKDAY(Horaires356731011[[#This Row],[Date]],2)=7,MAX(0,MIN(fin_dimJF,Horaires356731011[[#This Row],[Fin corrigée si nuit]])-MAX(deb_dimJF,Horaires356731011[[#This Row],[début]])),0)+IF(WEEKDAY(Horaires356731011[[#This Row],[Date]],2)=6,MAX(0,Horaires356731011[[#This Row],[Fin corrigée si nuit]]-(1+deb_dimJF)),0))*24-
(IF(WEEKDAY(Horaires356731011[[#This Row],[Date]],2)=7,MAX(0,MIN(fin_dimJF,Horaires356731011[[#This Row],[PNP Fin corrigée]])-MAX(deb_dimJF,Horaires356731011[[#This Row],[PNP Début corrigé]])),0)+IF(WEEKDAY(Horaires356731011[[#This Row],[Date]],2)=6,MAX(0,Horaires356731011[[#This Row],[PNP Fin corrigée]]-(1+deb_dimJF)),0))*24</f>
        <v>0</v>
      </c>
      <c r="R13" s="36">
        <f>(IF(COUNTIF(JF,Horaires356731011[[#This Row],[Date]]),MAX(0,MIN(fin_dimJF,Horaires356731011[[#This Row],[Fin corrigée si nuit]])-MAX(deb_dimJF,Horaires356731011[[#This Row],[début]])),0)+IF(COUNTIF(JF,Horaires356731011[[#This Row],[Date]]+1),MAX(0,Horaires356731011[[#This Row],[Fin corrigée si nuit]]-(1+deb_dimJF)),0))*24</f>
        <v>0</v>
      </c>
      <c r="S13" s="36">
        <f>(IF(COUNTIF(JF,Horaires356731011[[#This Row],[Date]]),MAX(0,MIN(fin_dimJF,Horaires356731011[[#This Row],[Fin corrigée si nuit]])-MAX(deb_dimJF,Horaires356731011[[#This Row],[début]])),0)+IF(COUNTIF(JF,Horaires356731011[[#This Row],[Date]]+1),MAX(0,Horaires356731011[[#This Row],[Fin corrigée si nuit]]-(1+deb_dimJF)),0))*24-
(IF(COUNTIF(JF,Horaires356731011[[#This Row],[Date]]),MAX(0,MIN(fin_dimJF,Horaires356731011[[#This Row],[PNP Fin corrigée]])-MAX(deb_dimJF,Horaires356731011[[#This Row],[PNP Début corrigé]])),0)+IF(COUNTIF(JF,Horaires356731011[[#This Row],[Date]]+1),MAX(0,Horaires356731011[[#This Row],[PNP Fin corrigée]]-(1+deb_dimJF)),0))*24</f>
        <v>0</v>
      </c>
    </row>
    <row r="14" spans="1:19" x14ac:dyDescent="0.35">
      <c r="A14" s="5"/>
      <c r="B14" s="1"/>
      <c r="C14" s="2"/>
      <c r="D14" s="2"/>
      <c r="E14" s="3"/>
      <c r="F14" s="3"/>
      <c r="G14" s="3"/>
      <c r="H14" s="3"/>
      <c r="I14" s="32">
        <f>0.1*(Horaires356731011[[#This Row],[Heures de nuit]]+Horaires356731011[[#This Row],[heures jour dimanche]]+Horaires356731011[[#This Row],[heures jour fériés]])</f>
        <v>0</v>
      </c>
      <c r="J14" s="33">
        <f>(MOD(Horaires356731011[[#This Row],[Fin]]-Horaires356731011[[#This Row],[début]],1)-MOD(Horaires356731011[[#This Row],[PNP Fin]]-Horaires356731011[[#This Row],[PNP Début]],1))*24</f>
        <v>0</v>
      </c>
      <c r="K14" s="34">
        <f>IF(Horaires356731011[[#This Row],[PNP Début]]=0,0,IF(Horaires356731011[[#This Row],[PNP Début]]&lt;Horaires356731011[[#This Row],[début]],1,0)+Horaires356731011[[#This Row],[PNP Début]])</f>
        <v>0</v>
      </c>
      <c r="L14" s="34">
        <f>IF(Horaires356731011[[#This Row],[PNP Fin]]=0,0,IF(Horaires356731011[[#This Row],[PNP Fin]]&lt;Horaires356731011[[#This Row],[début]],1,0)+Horaires356731011[[#This Row],[PNP Fin]])</f>
        <v>0</v>
      </c>
      <c r="M14" s="34">
        <f>IF(Horaires356731011[[#This Row],[Fin]]&lt;Horaires356731011[[#This Row],[début]],1,0)+Horaires356731011[[#This Row],[Fin]]</f>
        <v>0</v>
      </c>
      <c r="N14" s="35">
        <f>IF(Horaires356731011[[#This Row],[Fin]]&lt;Horaires356731011[[#This Row],[début]],MAX(0,MIN(Horaires356731011[[#This Row],[Fin corrigée si nuit]],fin_nuit)-MAX(Horaires356731011[[#This Row],[début]],deb_nuit))*24,(MAX(deb_nuit,Horaires356731011[[#This Row],[Fin]])-MAX(deb_nuit,Horaires356731011[[#This Row],[début]])+MAX(MIN(fin_nuit-1,Horaires356731011[[#This Row],[Fin]])-MIN(fin_nuit-1,Horaires356731011[[#This Row],[début]]),0))*24)</f>
        <v>0</v>
      </c>
      <c r="O14" s="35">
        <f>(MAX(0,MIN(Horaires356731011[[#This Row],[Fin corrigée si nuit]],fin_nuit)-MAX(Horaires356731011[[#This Row],[début]],deb_nuit))-IF(Horaires356731011[[#This Row],[PNP Début]]=0,0,MIN(Horaires356731011[[#This Row],[PNP Fin corrigée]],fin_nuit)-MAX(Horaires356731011[[#This Row],[PNP Début corrigé]],deb_nuit)))*24</f>
        <v>0</v>
      </c>
      <c r="P14" s="35">
        <f>(IF(WEEKDAY(Horaires356731011[[#This Row],[Date]],2)=7,MAX(0,MIN(fin_dimJF,Horaires356731011[[#This Row],[Fin corrigée si nuit]])-MAX(deb_dimJF,Horaires356731011[[#This Row],[début]])),0)+IF(WEEKDAY(Horaires356731011[[#This Row],[Date]],2)=6,MAX(0,Horaires356731011[[#This Row],[Fin corrigée si nuit]]-(1+deb_dimJF)),0))*24</f>
        <v>0</v>
      </c>
      <c r="Q14" s="35">
        <f>(IF(WEEKDAY(Horaires356731011[[#This Row],[Date]],2)=7,MAX(0,MIN(fin_dimJF,Horaires356731011[[#This Row],[Fin corrigée si nuit]])-MAX(deb_dimJF,Horaires356731011[[#This Row],[début]])),0)+IF(WEEKDAY(Horaires356731011[[#This Row],[Date]],2)=6,MAX(0,Horaires356731011[[#This Row],[Fin corrigée si nuit]]-(1+deb_dimJF)),0))*24-
(IF(WEEKDAY(Horaires356731011[[#This Row],[Date]],2)=7,MAX(0,MIN(fin_dimJF,Horaires356731011[[#This Row],[PNP Fin corrigée]])-MAX(deb_dimJF,Horaires356731011[[#This Row],[PNP Début corrigé]])),0)+IF(WEEKDAY(Horaires356731011[[#This Row],[Date]],2)=6,MAX(0,Horaires356731011[[#This Row],[PNP Fin corrigée]]-(1+deb_dimJF)),0))*24</f>
        <v>0</v>
      </c>
      <c r="R14" s="36">
        <f>(IF(COUNTIF(JF,Horaires356731011[[#This Row],[Date]]),MAX(0,MIN(fin_dimJF,Horaires356731011[[#This Row],[Fin corrigée si nuit]])-MAX(deb_dimJF,Horaires356731011[[#This Row],[début]])),0)+IF(COUNTIF(JF,Horaires356731011[[#This Row],[Date]]+1),MAX(0,Horaires356731011[[#This Row],[Fin corrigée si nuit]]-(1+deb_dimJF)),0))*24</f>
        <v>0</v>
      </c>
      <c r="S14" s="36">
        <f>(IF(COUNTIF(JF,Horaires356731011[[#This Row],[Date]]),MAX(0,MIN(fin_dimJF,Horaires356731011[[#This Row],[Fin corrigée si nuit]])-MAX(deb_dimJF,Horaires356731011[[#This Row],[début]])),0)+IF(COUNTIF(JF,Horaires356731011[[#This Row],[Date]]+1),MAX(0,Horaires356731011[[#This Row],[Fin corrigée si nuit]]-(1+deb_dimJF)),0))*24-
(IF(COUNTIF(JF,Horaires356731011[[#This Row],[Date]]),MAX(0,MIN(fin_dimJF,Horaires356731011[[#This Row],[PNP Fin corrigée]])-MAX(deb_dimJF,Horaires356731011[[#This Row],[PNP Début corrigé]])),0)+IF(COUNTIF(JF,Horaires356731011[[#This Row],[Date]]+1),MAX(0,Horaires356731011[[#This Row],[PNP Fin corrigée]]-(1+deb_dimJF)),0))*24</f>
        <v>0</v>
      </c>
    </row>
    <row r="15" spans="1:19" x14ac:dyDescent="0.35">
      <c r="A15" s="5"/>
      <c r="B15" s="1"/>
      <c r="C15" s="2"/>
      <c r="D15" s="2"/>
      <c r="E15" s="3"/>
      <c r="F15" s="3"/>
      <c r="G15" s="3"/>
      <c r="H15" s="3"/>
      <c r="I15" s="32">
        <f>0.1*(Horaires356731011[[#This Row],[Heures de nuit]]+Horaires356731011[[#This Row],[heures jour dimanche]]+Horaires356731011[[#This Row],[heures jour fériés]])</f>
        <v>0</v>
      </c>
      <c r="J15" s="33">
        <f>(MOD(Horaires356731011[[#This Row],[Fin]]-Horaires356731011[[#This Row],[début]],1)-MOD(Horaires356731011[[#This Row],[PNP Fin]]-Horaires356731011[[#This Row],[PNP Début]],1))*24</f>
        <v>0</v>
      </c>
      <c r="K15" s="34">
        <f>IF(Horaires356731011[[#This Row],[PNP Début]]=0,0,IF(Horaires356731011[[#This Row],[PNP Début]]&lt;Horaires356731011[[#This Row],[début]],1,0)+Horaires356731011[[#This Row],[PNP Début]])</f>
        <v>0</v>
      </c>
      <c r="L15" s="34">
        <f>IF(Horaires356731011[[#This Row],[PNP Fin]]=0,0,IF(Horaires356731011[[#This Row],[PNP Fin]]&lt;Horaires356731011[[#This Row],[début]],1,0)+Horaires356731011[[#This Row],[PNP Fin]])</f>
        <v>0</v>
      </c>
      <c r="M15" s="34">
        <f>IF(Horaires356731011[[#This Row],[Fin]]&lt;Horaires356731011[[#This Row],[début]],1,0)+Horaires356731011[[#This Row],[Fin]]</f>
        <v>0</v>
      </c>
      <c r="N15" s="35">
        <f>IF(Horaires356731011[[#This Row],[Fin]]&lt;Horaires356731011[[#This Row],[début]],MAX(0,MIN(Horaires356731011[[#This Row],[Fin corrigée si nuit]],fin_nuit)-MAX(Horaires356731011[[#This Row],[début]],deb_nuit))*24,(MAX(deb_nuit,Horaires356731011[[#This Row],[Fin]])-MAX(deb_nuit,Horaires356731011[[#This Row],[début]])+MAX(MIN(fin_nuit-1,Horaires356731011[[#This Row],[Fin]])-MIN(fin_nuit-1,Horaires356731011[[#This Row],[début]]),0))*24)</f>
        <v>0</v>
      </c>
      <c r="O15" s="35">
        <f>(MAX(0,MIN(Horaires356731011[[#This Row],[Fin corrigée si nuit]],fin_nuit)-MAX(Horaires356731011[[#This Row],[début]],deb_nuit))-IF(Horaires356731011[[#This Row],[PNP Début]]=0,0,MIN(Horaires356731011[[#This Row],[PNP Fin corrigée]],fin_nuit)-MAX(Horaires356731011[[#This Row],[PNP Début corrigé]],deb_nuit)))*24</f>
        <v>0</v>
      </c>
      <c r="P15" s="35">
        <f>(IF(WEEKDAY(Horaires356731011[[#This Row],[Date]],2)=7,MAX(0,MIN(fin_dimJF,Horaires356731011[[#This Row],[Fin corrigée si nuit]])-MAX(deb_dimJF,Horaires356731011[[#This Row],[début]])),0)+IF(WEEKDAY(Horaires356731011[[#This Row],[Date]],2)=6,MAX(0,Horaires356731011[[#This Row],[Fin corrigée si nuit]]-(1+deb_dimJF)),0))*24</f>
        <v>0</v>
      </c>
      <c r="Q15" s="35">
        <f>(IF(WEEKDAY(Horaires356731011[[#This Row],[Date]],2)=7,MAX(0,MIN(fin_dimJF,Horaires356731011[[#This Row],[Fin corrigée si nuit]])-MAX(deb_dimJF,Horaires356731011[[#This Row],[début]])),0)+IF(WEEKDAY(Horaires356731011[[#This Row],[Date]],2)=6,MAX(0,Horaires356731011[[#This Row],[Fin corrigée si nuit]]-(1+deb_dimJF)),0))*24-
(IF(WEEKDAY(Horaires356731011[[#This Row],[Date]],2)=7,MAX(0,MIN(fin_dimJF,Horaires356731011[[#This Row],[PNP Fin corrigée]])-MAX(deb_dimJF,Horaires356731011[[#This Row],[PNP Début corrigé]])),0)+IF(WEEKDAY(Horaires356731011[[#This Row],[Date]],2)=6,MAX(0,Horaires356731011[[#This Row],[PNP Fin corrigée]]-(1+deb_dimJF)),0))*24</f>
        <v>0</v>
      </c>
      <c r="R15" s="36">
        <f>(IF(COUNTIF(JF,Horaires356731011[[#This Row],[Date]]),MAX(0,MIN(fin_dimJF,Horaires356731011[[#This Row],[Fin corrigée si nuit]])-MAX(deb_dimJF,Horaires356731011[[#This Row],[début]])),0)+IF(COUNTIF(JF,Horaires356731011[[#This Row],[Date]]+1),MAX(0,Horaires356731011[[#This Row],[Fin corrigée si nuit]]-(1+deb_dimJF)),0))*24</f>
        <v>0</v>
      </c>
      <c r="S15" s="36">
        <f>(IF(COUNTIF(JF,Horaires356731011[[#This Row],[Date]]),MAX(0,MIN(fin_dimJF,Horaires356731011[[#This Row],[Fin corrigée si nuit]])-MAX(deb_dimJF,Horaires356731011[[#This Row],[début]])),0)+IF(COUNTIF(JF,Horaires356731011[[#This Row],[Date]]+1),MAX(0,Horaires356731011[[#This Row],[Fin corrigée si nuit]]-(1+deb_dimJF)),0))*24-
(IF(COUNTIF(JF,Horaires356731011[[#This Row],[Date]]),MAX(0,MIN(fin_dimJF,Horaires356731011[[#This Row],[PNP Fin corrigée]])-MAX(deb_dimJF,Horaires356731011[[#This Row],[PNP Début corrigé]])),0)+IF(COUNTIF(JF,Horaires356731011[[#This Row],[Date]]+1),MAX(0,Horaires356731011[[#This Row],[PNP Fin corrigée]]-(1+deb_dimJF)),0))*24</f>
        <v>0</v>
      </c>
    </row>
    <row r="16" spans="1:19" x14ac:dyDescent="0.35">
      <c r="A16" s="5"/>
      <c r="B16" s="6"/>
      <c r="C16" s="2"/>
      <c r="D16" s="2"/>
      <c r="E16" s="3"/>
      <c r="F16" s="3"/>
      <c r="G16" s="7"/>
      <c r="H16" s="7"/>
      <c r="I16" s="32">
        <f>0.1*(Horaires356731011[[#This Row],[Heures de nuit]]+Horaires356731011[[#This Row],[heures jour dimanche]]+Horaires356731011[[#This Row],[heures jour fériés]])</f>
        <v>0</v>
      </c>
      <c r="J16" s="37">
        <f>(MOD(Horaires356731011[[#This Row],[Fin]]-Horaires356731011[[#This Row],[début]],1)-MOD(Horaires356731011[[#This Row],[PNP Fin]]-Horaires356731011[[#This Row],[PNP Début]],1))*24</f>
        <v>0</v>
      </c>
      <c r="K16" s="34">
        <f>IF(Horaires356731011[[#This Row],[PNP Début]]=0,0,IF(Horaires356731011[[#This Row],[PNP Début]]&lt;Horaires356731011[[#This Row],[début]],1,0)+Horaires356731011[[#This Row],[PNP Début]])</f>
        <v>0</v>
      </c>
      <c r="L16" s="34">
        <f>IF(Horaires356731011[[#This Row],[PNP Fin]]=0,0,IF(Horaires356731011[[#This Row],[PNP Fin]]&lt;Horaires356731011[[#This Row],[début]],1,0)+Horaires356731011[[#This Row],[PNP Fin]])</f>
        <v>0</v>
      </c>
      <c r="M16" s="38">
        <f>IF(Horaires356731011[[#This Row],[Fin]]&lt;Horaires356731011[[#This Row],[début]],1,0)+Horaires356731011[[#This Row],[Fin]]</f>
        <v>0</v>
      </c>
      <c r="N16" s="35">
        <f>IF(Horaires356731011[[#This Row],[Fin]]&lt;Horaires356731011[[#This Row],[début]],MAX(0,MIN(Horaires356731011[[#This Row],[Fin corrigée si nuit]],fin_nuit)-MAX(Horaires356731011[[#This Row],[début]],deb_nuit))*24,(MAX(deb_nuit,Horaires356731011[[#This Row],[Fin]])-MAX(deb_nuit,Horaires356731011[[#This Row],[début]])+MAX(MIN(fin_nuit-1,Horaires356731011[[#This Row],[Fin]])-MIN(fin_nuit-1,Horaires356731011[[#This Row],[début]]),0))*24)</f>
        <v>0</v>
      </c>
      <c r="O16" s="39">
        <f>(MAX(0,MIN(Horaires356731011[[#This Row],[Fin corrigée si nuit]],fin_nuit)-MAX(Horaires356731011[[#This Row],[début]],deb_nuit))-IF(Horaires356731011[[#This Row],[PNP Début]]=0,0,MIN(Horaires356731011[[#This Row],[PNP Fin corrigée]],fin_nuit)-MAX(Horaires356731011[[#This Row],[PNP Début corrigé]],deb_nuit)))*24</f>
        <v>0</v>
      </c>
      <c r="P16" s="39">
        <f>(IF(WEEKDAY(Horaires356731011[[#This Row],[Date]],2)=7,MAX(0,MIN(fin_dimJF,Horaires356731011[[#This Row],[Fin corrigée si nuit]])-MAX(deb_dimJF,Horaires356731011[[#This Row],[début]])),0)+IF(WEEKDAY(Horaires356731011[[#This Row],[Date]],2)=6,MAX(0,Horaires356731011[[#This Row],[Fin corrigée si nuit]]-(1+deb_dimJF)),0))*24</f>
        <v>0</v>
      </c>
      <c r="Q16" s="35">
        <f>(IF(WEEKDAY(Horaires356731011[[#This Row],[Date]],2)=7,MAX(0,MIN(fin_dimJF,Horaires356731011[[#This Row],[Fin corrigée si nuit]])-MAX(deb_dimJF,Horaires356731011[[#This Row],[début]])),0)+IF(WEEKDAY(Horaires356731011[[#This Row],[Date]],2)=6,MAX(0,Horaires356731011[[#This Row],[Fin corrigée si nuit]]-(1+deb_dimJF)),0))*24-
(IF(WEEKDAY(Horaires356731011[[#This Row],[Date]],2)=7,MAX(0,MIN(fin_dimJF,Horaires356731011[[#This Row],[PNP Fin corrigée]])-MAX(deb_dimJF,Horaires356731011[[#This Row],[PNP Début corrigé]])),0)+IF(WEEKDAY(Horaires356731011[[#This Row],[Date]],2)=6,MAX(0,Horaires356731011[[#This Row],[PNP Fin corrigée]]-(1+deb_dimJF)),0))*24</f>
        <v>0</v>
      </c>
      <c r="R16" s="40">
        <f>(IF(COUNTIF(JF,Horaires356731011[[#This Row],[Date]]),MAX(0,MIN(fin_dimJF,Horaires356731011[[#This Row],[Fin corrigée si nuit]])-MAX(deb_dimJF,Horaires356731011[[#This Row],[début]])),0)+IF(COUNTIF(JF,Horaires356731011[[#This Row],[Date]]+1),MAX(0,Horaires356731011[[#This Row],[Fin corrigée si nuit]]-(1+deb_dimJF)),0))*24</f>
        <v>0</v>
      </c>
      <c r="S16" s="40">
        <f>(IF(COUNTIF(JF,Horaires356731011[[#This Row],[Date]]),MAX(0,MIN(fin_dimJF,Horaires356731011[[#This Row],[Fin corrigée si nuit]])-MAX(deb_dimJF,Horaires356731011[[#This Row],[début]])),0)+IF(COUNTIF(JF,Horaires356731011[[#This Row],[Date]]+1),MAX(0,Horaires356731011[[#This Row],[Fin corrigée si nuit]]-(1+deb_dimJF)),0))*24-
(IF(COUNTIF(JF,Horaires356731011[[#This Row],[Date]]),MAX(0,MIN(fin_dimJF,Horaires356731011[[#This Row],[PNP Fin corrigée]])-MAX(deb_dimJF,Horaires356731011[[#This Row],[PNP Début corrigé]])),0)+IF(COUNTIF(JF,Horaires356731011[[#This Row],[Date]]+1),MAX(0,Horaires356731011[[#This Row],[PNP Fin corrigée]]-(1+deb_dimJF)),0))*24</f>
        <v>0</v>
      </c>
    </row>
    <row r="17" spans="1:19" x14ac:dyDescent="0.35">
      <c r="A17" s="5"/>
      <c r="B17" s="1"/>
      <c r="C17" s="2"/>
      <c r="D17" s="2"/>
      <c r="E17" s="3"/>
      <c r="F17" s="3"/>
      <c r="G17" s="12"/>
      <c r="H17" s="12"/>
      <c r="I17" s="41">
        <f>0.1*(Horaires356731011[[#This Row],[Heures de nuit]]+Horaires356731011[[#This Row],[heures jour dimanche]]+Horaires356731011[[#This Row],[heures jour fériés]])</f>
        <v>0</v>
      </c>
      <c r="J17" s="42">
        <f>(MOD(Horaires356731011[[#This Row],[Fin]]-Horaires356731011[[#This Row],[début]],1)-MOD(Horaires356731011[[#This Row],[PNP Fin]]-Horaires356731011[[#This Row],[PNP Début]],1))*24</f>
        <v>0</v>
      </c>
      <c r="K17" s="43">
        <f>IF(Horaires356731011[[#This Row],[PNP Début]]=0,0,IF(Horaires356731011[[#This Row],[PNP Début]]&lt;Horaires356731011[[#This Row],[début]],1,0)+Horaires356731011[[#This Row],[PNP Début]])</f>
        <v>0</v>
      </c>
      <c r="L17" s="44">
        <f>IF(Horaires356731011[[#This Row],[PNP Fin]]=0,0,IF(Horaires356731011[[#This Row],[PNP Fin]]&lt;Horaires356731011[[#This Row],[début]],1,0)+Horaires356731011[[#This Row],[PNP Fin]])</f>
        <v>0</v>
      </c>
      <c r="M17" s="44">
        <f>IF(Horaires356731011[[#This Row],[Fin]]&lt;Horaires356731011[[#This Row],[début]],1,0)+Horaires356731011[[#This Row],[Fin]]</f>
        <v>0</v>
      </c>
      <c r="N17" s="35">
        <f>IF(Horaires356731011[[#This Row],[Fin]]&lt;Horaires356731011[[#This Row],[début]],MAX(0,MIN(Horaires356731011[[#This Row],[Fin corrigée si nuit]],fin_nuit)-MAX(Horaires356731011[[#This Row],[début]],deb_nuit))*24,(MAX(deb_nuit,Horaires356731011[[#This Row],[Fin]])-MAX(deb_nuit,Horaires356731011[[#This Row],[début]])+MAX(MIN(fin_nuit-1,Horaires356731011[[#This Row],[Fin]])-MIN(fin_nuit-1,Horaires356731011[[#This Row],[début]]),0))*24)</f>
        <v>0</v>
      </c>
      <c r="O17" s="45">
        <f>(MAX(0,MIN(Horaires356731011[[#This Row],[Fin corrigée si nuit]],fin_nuit)-MAX(Horaires356731011[[#This Row],[début]],deb_nuit))-IF(Horaires356731011[[#This Row],[PNP Début]]=0,0,MIN(Horaires356731011[[#This Row],[PNP Fin corrigée]],fin_nuit)-MAX(Horaires356731011[[#This Row],[PNP Début corrigé]],deb_nuit)))*24</f>
        <v>0</v>
      </c>
      <c r="P17" s="45">
        <f>(IF(WEEKDAY(Horaires356731011[[#This Row],[Date]],2)=7,MAX(0,MIN(fin_dimJF,Horaires356731011[[#This Row],[Fin corrigée si nuit]])-MAX(deb_dimJF,Horaires356731011[[#This Row],[début]])),0)+IF(WEEKDAY(Horaires356731011[[#This Row],[Date]],2)=6,MAX(0,Horaires356731011[[#This Row],[Fin corrigée si nuit]]-(1+deb_dimJF)),0))*24</f>
        <v>0</v>
      </c>
      <c r="Q17" s="45">
        <f>(IF(WEEKDAY(Horaires356731011[[#This Row],[Date]],2)=7,MAX(0,MIN(fin_dimJF,Horaires356731011[[#This Row],[Fin corrigée si nuit]])-MAX(deb_dimJF,Horaires356731011[[#This Row],[début]])),0)+IF(WEEKDAY(Horaires356731011[[#This Row],[Date]],2)=6,MAX(0,Horaires356731011[[#This Row],[Fin corrigée si nuit]]-(1+deb_dimJF)),0))*24-
(IF(WEEKDAY(Horaires356731011[[#This Row],[Date]],2)=7,MAX(0,MIN(fin_dimJF,Horaires356731011[[#This Row],[PNP Fin corrigée]])-MAX(deb_dimJF,Horaires356731011[[#This Row],[PNP Début corrigé]])),0)+IF(WEEKDAY(Horaires356731011[[#This Row],[Date]],2)=6,MAX(0,Horaires356731011[[#This Row],[PNP Fin corrigée]]-(1+deb_dimJF)),0))*24</f>
        <v>0</v>
      </c>
      <c r="R17" s="45">
        <f>(IF(COUNTIF(JF,Horaires356731011[[#This Row],[Date]]),MAX(0,MIN(fin_dimJF,Horaires356731011[[#This Row],[Fin corrigée si nuit]])-MAX(deb_dimJF,Horaires356731011[[#This Row],[début]])),0)+IF(COUNTIF(JF,Horaires356731011[[#This Row],[Date]]+1),MAX(0,Horaires356731011[[#This Row],[Fin corrigée si nuit]]-(1+deb_dimJF)),0))*24</f>
        <v>0</v>
      </c>
      <c r="S17" s="45">
        <f>(IF(COUNTIF(JF,Horaires356731011[[#This Row],[Date]]),MAX(0,MIN(fin_dimJF,Horaires356731011[[#This Row],[Fin corrigée si nuit]])-MAX(deb_dimJF,Horaires356731011[[#This Row],[début]])),0)+IF(COUNTIF(JF,Horaires356731011[[#This Row],[Date]]+1),MAX(0,Horaires356731011[[#This Row],[Fin corrigée si nuit]]-(1+deb_dimJF)),0))*24-
(IF(COUNTIF(JF,Horaires356731011[[#This Row],[Date]]),MAX(0,MIN(fin_dimJF,Horaires356731011[[#This Row],[PNP Fin corrigée]])-MAX(deb_dimJF,Horaires356731011[[#This Row],[PNP Début corrigé]])),0)+IF(COUNTIF(JF,Horaires356731011[[#This Row],[Date]]+1),MAX(0,Horaires356731011[[#This Row],[PNP Fin corrigée]]-(1+deb_dimJF)),0))*24</f>
        <v>0</v>
      </c>
    </row>
    <row r="18" spans="1:19" x14ac:dyDescent="0.35">
      <c r="A18" s="5"/>
      <c r="B18" s="60"/>
      <c r="C18" s="11"/>
      <c r="D18" s="11"/>
      <c r="E18" s="12"/>
      <c r="F18" s="12"/>
      <c r="G18" s="12"/>
      <c r="H18" s="12"/>
      <c r="I18" s="41">
        <f>0.1*(Horaires356731011[[#This Row],[Heures de nuit]]+Horaires356731011[[#This Row],[heures jour dimanche]]+Horaires356731011[[#This Row],[heures jour fériés]])</f>
        <v>0</v>
      </c>
      <c r="J18" s="42">
        <f>(MOD(Horaires356731011[[#This Row],[Fin]]-Horaires356731011[[#This Row],[début]],1)-MOD(Horaires356731011[[#This Row],[PNP Fin]]-Horaires356731011[[#This Row],[PNP Début]],1))*24</f>
        <v>0</v>
      </c>
      <c r="K18" s="43">
        <f>IF(Horaires356731011[[#This Row],[PNP Début]]=0,0,IF(Horaires356731011[[#This Row],[PNP Début]]&lt;Horaires356731011[[#This Row],[début]],1,0)+Horaires356731011[[#This Row],[PNP Début]])</f>
        <v>0</v>
      </c>
      <c r="L18" s="44">
        <f>IF(Horaires356731011[[#This Row],[PNP Fin]]=0,0,IF(Horaires356731011[[#This Row],[PNP Fin]]&lt;Horaires356731011[[#This Row],[début]],1,0)+Horaires356731011[[#This Row],[PNP Fin]])</f>
        <v>0</v>
      </c>
      <c r="M18" s="44">
        <f>IF(Horaires356731011[[#This Row],[Fin]]&lt;Horaires356731011[[#This Row],[début]],1,0)+Horaires356731011[[#This Row],[Fin]]</f>
        <v>0</v>
      </c>
      <c r="N18" s="35">
        <f>IF(Horaires356731011[[#This Row],[Fin]]&lt;Horaires356731011[[#This Row],[début]],MAX(0,MIN(Horaires356731011[[#This Row],[Fin corrigée si nuit]],fin_nuit)-MAX(Horaires356731011[[#This Row],[début]],deb_nuit))*24,(MAX(deb_nuit,Horaires356731011[[#This Row],[Fin]])-MAX(deb_nuit,Horaires356731011[[#This Row],[début]])+MAX(MIN(fin_nuit-1,Horaires356731011[[#This Row],[Fin]])-MIN(fin_nuit-1,Horaires356731011[[#This Row],[début]]),0))*24)</f>
        <v>0</v>
      </c>
      <c r="O18" s="45">
        <f>(MAX(0,MIN(Horaires356731011[[#This Row],[Fin corrigée si nuit]],fin_nuit)-MAX(Horaires356731011[[#This Row],[début]],deb_nuit))-IF(Horaires356731011[[#This Row],[PNP Début]]=0,0,MIN(Horaires356731011[[#This Row],[PNP Fin corrigée]],fin_nuit)-MAX(Horaires356731011[[#This Row],[PNP Début corrigé]],deb_nuit)))*24</f>
        <v>0</v>
      </c>
      <c r="P18" s="45">
        <f>(IF(WEEKDAY(Horaires356731011[[#This Row],[Date]],2)=7,MAX(0,MIN(fin_dimJF,Horaires356731011[[#This Row],[Fin corrigée si nuit]])-MAX(deb_dimJF,Horaires356731011[[#This Row],[début]])),0)+IF(WEEKDAY(Horaires356731011[[#This Row],[Date]],2)=6,MAX(0,Horaires356731011[[#This Row],[Fin corrigée si nuit]]-(1+deb_dimJF)),0))*24</f>
        <v>0</v>
      </c>
      <c r="Q18" s="45">
        <f>(IF(WEEKDAY(Horaires356731011[[#This Row],[Date]],2)=7,MAX(0,MIN(fin_dimJF,Horaires356731011[[#This Row],[Fin corrigée si nuit]])-MAX(deb_dimJF,Horaires356731011[[#This Row],[début]])),0)+IF(WEEKDAY(Horaires356731011[[#This Row],[Date]],2)=6,MAX(0,Horaires356731011[[#This Row],[Fin corrigée si nuit]]-(1+deb_dimJF)),0))*24-
(IF(WEEKDAY(Horaires356731011[[#This Row],[Date]],2)=7,MAX(0,MIN(fin_dimJF,Horaires356731011[[#This Row],[PNP Fin corrigée]])-MAX(deb_dimJF,Horaires356731011[[#This Row],[PNP Début corrigé]])),0)+IF(WEEKDAY(Horaires356731011[[#This Row],[Date]],2)=6,MAX(0,Horaires356731011[[#This Row],[PNP Fin corrigée]]-(1+deb_dimJF)),0))*24</f>
        <v>0</v>
      </c>
      <c r="R18" s="45">
        <f>(IF(COUNTIF(JF,Horaires356731011[[#This Row],[Date]]),MAX(0,MIN(fin_dimJF,Horaires356731011[[#This Row],[Fin corrigée si nuit]])-MAX(deb_dimJF,Horaires356731011[[#This Row],[début]])),0)+IF(COUNTIF(JF,Horaires356731011[[#This Row],[Date]]+1),MAX(0,Horaires356731011[[#This Row],[Fin corrigée si nuit]]-(1+deb_dimJF)),0))*24</f>
        <v>0</v>
      </c>
      <c r="S18" s="45">
        <f>(IF(COUNTIF(JF,Horaires356731011[[#This Row],[Date]]),MAX(0,MIN(fin_dimJF,Horaires356731011[[#This Row],[Fin corrigée si nuit]])-MAX(deb_dimJF,Horaires356731011[[#This Row],[début]])),0)+IF(COUNTIF(JF,Horaires356731011[[#This Row],[Date]]+1),MAX(0,Horaires356731011[[#This Row],[Fin corrigée si nuit]]-(1+deb_dimJF)),0))*24-
(IF(COUNTIF(JF,Horaires356731011[[#This Row],[Date]]),MAX(0,MIN(fin_dimJF,Horaires356731011[[#This Row],[PNP Fin corrigée]])-MAX(deb_dimJF,Horaires356731011[[#This Row],[PNP Début corrigé]])),0)+IF(COUNTIF(JF,Horaires356731011[[#This Row],[Date]]+1),MAX(0,Horaires356731011[[#This Row],[PNP Fin corrigée]]-(1+deb_dimJF)),0))*24</f>
        <v>0</v>
      </c>
    </row>
    <row r="19" spans="1:19" x14ac:dyDescent="0.35">
      <c r="A19" s="5"/>
      <c r="B19" s="1"/>
      <c r="C19" s="11"/>
      <c r="D19" s="11"/>
      <c r="E19" s="3"/>
      <c r="F19" s="3"/>
      <c r="G19" s="12"/>
      <c r="H19" s="12"/>
      <c r="I19" s="41">
        <f>0.1*(Horaires356731011[[#This Row],[Heures de nuit]]+Horaires356731011[[#This Row],[heures jour dimanche]]+Horaires356731011[[#This Row],[heures jour fériés]])</f>
        <v>0</v>
      </c>
      <c r="J19" s="42">
        <f>(MOD(Horaires356731011[[#This Row],[Fin]]-Horaires356731011[[#This Row],[début]],1)-MOD(Horaires356731011[[#This Row],[PNP Fin]]-Horaires356731011[[#This Row],[PNP Début]],1))*24</f>
        <v>0</v>
      </c>
      <c r="K19" s="43">
        <f>IF(Horaires356731011[[#This Row],[PNP Début]]=0,0,IF(Horaires356731011[[#This Row],[PNP Début]]&lt;Horaires356731011[[#This Row],[début]],1,0)+Horaires356731011[[#This Row],[PNP Début]])</f>
        <v>0</v>
      </c>
      <c r="L19" s="44">
        <f>IF(Horaires356731011[[#This Row],[PNP Fin]]=0,0,IF(Horaires356731011[[#This Row],[PNP Fin]]&lt;Horaires356731011[[#This Row],[début]],1,0)+Horaires356731011[[#This Row],[PNP Fin]])</f>
        <v>0</v>
      </c>
      <c r="M19" s="44">
        <f>IF(Horaires356731011[[#This Row],[Fin]]&lt;Horaires356731011[[#This Row],[début]],1,0)+Horaires356731011[[#This Row],[Fin]]</f>
        <v>0</v>
      </c>
      <c r="N19" s="35">
        <f>IF(Horaires356731011[[#This Row],[Fin]]&lt;Horaires356731011[[#This Row],[début]],MAX(0,MIN(Horaires356731011[[#This Row],[Fin corrigée si nuit]],fin_nuit)-MAX(Horaires356731011[[#This Row],[début]],deb_nuit))*24,(MAX(deb_nuit,Horaires356731011[[#This Row],[Fin]])-MAX(deb_nuit,Horaires356731011[[#This Row],[début]])+MAX(MIN(fin_nuit-1,Horaires356731011[[#This Row],[Fin]])-MIN(fin_nuit-1,Horaires356731011[[#This Row],[début]]),0))*24)</f>
        <v>0</v>
      </c>
      <c r="O19" s="45">
        <f>(MAX(0,MIN(Horaires356731011[[#This Row],[Fin corrigée si nuit]],fin_nuit)-MAX(Horaires356731011[[#This Row],[début]],deb_nuit))-IF(Horaires356731011[[#This Row],[PNP Début]]=0,0,MIN(Horaires356731011[[#This Row],[PNP Fin corrigée]],fin_nuit)-MAX(Horaires356731011[[#This Row],[PNP Début corrigé]],deb_nuit)))*24</f>
        <v>0</v>
      </c>
      <c r="P19" s="45">
        <f>(IF(WEEKDAY(Horaires356731011[[#This Row],[Date]],2)=7,MAX(0,MIN(fin_dimJF,Horaires356731011[[#This Row],[Fin corrigée si nuit]])-MAX(deb_dimJF,Horaires356731011[[#This Row],[début]])),0)+IF(WEEKDAY(Horaires356731011[[#This Row],[Date]],2)=6,MAX(0,Horaires356731011[[#This Row],[Fin corrigée si nuit]]-(1+deb_dimJF)),0))*24</f>
        <v>0</v>
      </c>
      <c r="Q19" s="45">
        <f>(IF(WEEKDAY(Horaires356731011[[#This Row],[Date]],2)=7,MAX(0,MIN(fin_dimJF,Horaires356731011[[#This Row],[Fin corrigée si nuit]])-MAX(deb_dimJF,Horaires356731011[[#This Row],[début]])),0)+IF(WEEKDAY(Horaires356731011[[#This Row],[Date]],2)=6,MAX(0,Horaires356731011[[#This Row],[Fin corrigée si nuit]]-(1+deb_dimJF)),0))*24-
(IF(WEEKDAY(Horaires356731011[[#This Row],[Date]],2)=7,MAX(0,MIN(fin_dimJF,Horaires356731011[[#This Row],[PNP Fin corrigée]])-MAX(deb_dimJF,Horaires356731011[[#This Row],[PNP Début corrigé]])),0)+IF(WEEKDAY(Horaires356731011[[#This Row],[Date]],2)=6,MAX(0,Horaires356731011[[#This Row],[PNP Fin corrigée]]-(1+deb_dimJF)),0))*24</f>
        <v>0</v>
      </c>
      <c r="R19" s="45">
        <f>(IF(COUNTIF(JF,Horaires356731011[[#This Row],[Date]]),MAX(0,MIN(fin_dimJF,Horaires356731011[[#This Row],[Fin corrigée si nuit]])-MAX(deb_dimJF,Horaires356731011[[#This Row],[début]])),0)+IF(COUNTIF(JF,Horaires356731011[[#This Row],[Date]]+1),MAX(0,Horaires356731011[[#This Row],[Fin corrigée si nuit]]-(1+deb_dimJF)),0))*24</f>
        <v>0</v>
      </c>
      <c r="S19" s="45">
        <f>(IF(COUNTIF(JF,Horaires356731011[[#This Row],[Date]]),MAX(0,MIN(fin_dimJF,Horaires356731011[[#This Row],[Fin corrigée si nuit]])-MAX(deb_dimJF,Horaires356731011[[#This Row],[début]])),0)+IF(COUNTIF(JF,Horaires356731011[[#This Row],[Date]]+1),MAX(0,Horaires356731011[[#This Row],[Fin corrigée si nuit]]-(1+deb_dimJF)),0))*24-
(IF(COUNTIF(JF,Horaires356731011[[#This Row],[Date]]),MAX(0,MIN(fin_dimJF,Horaires356731011[[#This Row],[PNP Fin corrigée]])-MAX(deb_dimJF,Horaires356731011[[#This Row],[PNP Début corrigé]])),0)+IF(COUNTIF(JF,Horaires356731011[[#This Row],[Date]]+1),MAX(0,Horaires356731011[[#This Row],[PNP Fin corrigée]]-(1+deb_dimJF)),0))*24</f>
        <v>0</v>
      </c>
    </row>
    <row r="20" spans="1:19" x14ac:dyDescent="0.35">
      <c r="A20" s="5"/>
      <c r="B20" s="1"/>
      <c r="C20" s="11"/>
      <c r="D20" s="11"/>
      <c r="E20" s="12"/>
      <c r="F20" s="12"/>
      <c r="G20" s="12"/>
      <c r="H20" s="12"/>
      <c r="I20" s="41">
        <f>0.1*(Horaires356731011[[#This Row],[Heures de nuit]]+Horaires356731011[[#This Row],[heures jour dimanche]]+Horaires356731011[[#This Row],[heures jour fériés]])</f>
        <v>0</v>
      </c>
      <c r="J20" s="42">
        <f>(MOD(Horaires356731011[[#This Row],[Fin]]-Horaires356731011[[#This Row],[début]],1)-MOD(Horaires356731011[[#This Row],[PNP Fin]]-Horaires356731011[[#This Row],[PNP Début]],1))*24</f>
        <v>0</v>
      </c>
      <c r="K20" s="43">
        <f>IF(Horaires356731011[[#This Row],[PNP Début]]=0,0,IF(Horaires356731011[[#This Row],[PNP Début]]&lt;Horaires356731011[[#This Row],[début]],1,0)+Horaires356731011[[#This Row],[PNP Début]])</f>
        <v>0</v>
      </c>
      <c r="L20" s="44">
        <f>IF(Horaires356731011[[#This Row],[PNP Fin]]=0,0,IF(Horaires356731011[[#This Row],[PNP Fin]]&lt;Horaires356731011[[#This Row],[début]],1,0)+Horaires356731011[[#This Row],[PNP Fin]])</f>
        <v>0</v>
      </c>
      <c r="M20" s="44">
        <f>IF(Horaires356731011[[#This Row],[Fin]]&lt;Horaires356731011[[#This Row],[début]],1,0)+Horaires356731011[[#This Row],[Fin]]</f>
        <v>0</v>
      </c>
      <c r="N20" s="35">
        <f>IF(Horaires356731011[[#This Row],[Fin]]&lt;Horaires356731011[[#This Row],[début]],MAX(0,MIN(Horaires356731011[[#This Row],[Fin corrigée si nuit]],fin_nuit)-MAX(Horaires356731011[[#This Row],[début]],deb_nuit))*24,(MAX(deb_nuit,Horaires356731011[[#This Row],[Fin]])-MAX(deb_nuit,Horaires356731011[[#This Row],[début]])+MAX(MIN(fin_nuit-1,Horaires356731011[[#This Row],[Fin]])-MIN(fin_nuit-1,Horaires356731011[[#This Row],[début]]),0))*24)</f>
        <v>0</v>
      </c>
      <c r="O20" s="45">
        <f>(MAX(0,MIN(Horaires356731011[[#This Row],[Fin corrigée si nuit]],fin_nuit)-MAX(Horaires356731011[[#This Row],[début]],deb_nuit))-IF(Horaires356731011[[#This Row],[PNP Début]]=0,0,MIN(Horaires356731011[[#This Row],[PNP Fin corrigée]],fin_nuit)-MAX(Horaires356731011[[#This Row],[PNP Début corrigé]],deb_nuit)))*24</f>
        <v>0</v>
      </c>
      <c r="P20" s="45">
        <f>(IF(WEEKDAY(Horaires356731011[[#This Row],[Date]],2)=7,MAX(0,MIN(fin_dimJF,Horaires356731011[[#This Row],[Fin corrigée si nuit]])-MAX(deb_dimJF,Horaires356731011[[#This Row],[début]])),0)+IF(WEEKDAY(Horaires356731011[[#This Row],[Date]],2)=6,MAX(0,Horaires356731011[[#This Row],[Fin corrigée si nuit]]-(1+deb_dimJF)),0))*24</f>
        <v>0</v>
      </c>
      <c r="Q20" s="45">
        <f>(IF(WEEKDAY(Horaires356731011[[#This Row],[Date]],2)=7,MAX(0,MIN(fin_dimJF,Horaires356731011[[#This Row],[Fin corrigée si nuit]])-MAX(deb_dimJF,Horaires356731011[[#This Row],[début]])),0)+IF(WEEKDAY(Horaires356731011[[#This Row],[Date]],2)=6,MAX(0,Horaires356731011[[#This Row],[Fin corrigée si nuit]]-(1+deb_dimJF)),0))*24-
(IF(WEEKDAY(Horaires356731011[[#This Row],[Date]],2)=7,MAX(0,MIN(fin_dimJF,Horaires356731011[[#This Row],[PNP Fin corrigée]])-MAX(deb_dimJF,Horaires356731011[[#This Row],[PNP Début corrigé]])),0)+IF(WEEKDAY(Horaires356731011[[#This Row],[Date]],2)=6,MAX(0,Horaires356731011[[#This Row],[PNP Fin corrigée]]-(1+deb_dimJF)),0))*24</f>
        <v>0</v>
      </c>
      <c r="R20" s="45">
        <f>(IF(COUNTIF(JF,Horaires356731011[[#This Row],[Date]]),MAX(0,MIN(fin_dimJF,Horaires356731011[[#This Row],[Fin corrigée si nuit]])-MAX(deb_dimJF,Horaires356731011[[#This Row],[début]])),0)+IF(COUNTIF(JF,Horaires356731011[[#This Row],[Date]]+1),MAX(0,Horaires356731011[[#This Row],[Fin corrigée si nuit]]-(1+deb_dimJF)),0))*24</f>
        <v>0</v>
      </c>
      <c r="S20" s="45">
        <f>(IF(COUNTIF(JF,Horaires356731011[[#This Row],[Date]]),MAX(0,MIN(fin_dimJF,Horaires356731011[[#This Row],[Fin corrigée si nuit]])-MAX(deb_dimJF,Horaires356731011[[#This Row],[début]])),0)+IF(COUNTIF(JF,Horaires356731011[[#This Row],[Date]]+1),MAX(0,Horaires356731011[[#This Row],[Fin corrigée si nuit]]-(1+deb_dimJF)),0))*24-
(IF(COUNTIF(JF,Horaires356731011[[#This Row],[Date]]),MAX(0,MIN(fin_dimJF,Horaires356731011[[#This Row],[PNP Fin corrigée]])-MAX(deb_dimJF,Horaires356731011[[#This Row],[PNP Début corrigé]])),0)+IF(COUNTIF(JF,Horaires356731011[[#This Row],[Date]]+1),MAX(0,Horaires356731011[[#This Row],[PNP Fin corrigée]]-(1+deb_dimJF)),0))*24</f>
        <v>0</v>
      </c>
    </row>
    <row r="21" spans="1:19" ht="14.4" customHeight="1" x14ac:dyDescent="0.35">
      <c r="A21" s="5"/>
      <c r="B21" s="6"/>
      <c r="C21" s="13"/>
      <c r="D21" s="13"/>
      <c r="E21" s="3"/>
      <c r="F21" s="3"/>
      <c r="G21" s="14"/>
      <c r="H21" s="14"/>
      <c r="I21" s="46">
        <f>0.1*(Horaires356731011[[#This Row],[Heures de nuit]]+Horaires356731011[[#This Row],[heures jour dimanche]]+Horaires356731011[[#This Row],[heures jour fériés]])</f>
        <v>0</v>
      </c>
      <c r="J21" s="47">
        <f>(MOD(Horaires356731011[[#This Row],[Fin]]-Horaires356731011[[#This Row],[début]],1)-MOD(Horaires356731011[[#This Row],[PNP Fin]]-Horaires356731011[[#This Row],[PNP Début]],1))*24</f>
        <v>0</v>
      </c>
      <c r="K21" s="48">
        <f>IF(Horaires356731011[[#This Row],[PNP Début]]=0,0,IF(Horaires356731011[[#This Row],[PNP Début]]&lt;Horaires356731011[[#This Row],[début]],1,0)+Horaires356731011[[#This Row],[PNP Début]])</f>
        <v>0</v>
      </c>
      <c r="L21" s="49">
        <f>IF(Horaires356731011[[#This Row],[PNP Fin]]=0,0,IF(Horaires356731011[[#This Row],[PNP Fin]]&lt;Horaires356731011[[#This Row],[début]],1,0)+Horaires356731011[[#This Row],[PNP Fin]])</f>
        <v>0</v>
      </c>
      <c r="M21" s="49">
        <f>IF(Horaires356731011[[#This Row],[Fin]]&lt;Horaires356731011[[#This Row],[début]],1,0)+Horaires356731011[[#This Row],[Fin]]</f>
        <v>0</v>
      </c>
      <c r="N21" s="35">
        <f>IF(Horaires356731011[[#This Row],[Fin]]&lt;Horaires356731011[[#This Row],[début]],MAX(0,MIN(Horaires356731011[[#This Row],[Fin corrigée si nuit]],fin_nuit)-MAX(Horaires356731011[[#This Row],[début]],deb_nuit))*24,(MAX(deb_nuit,Horaires356731011[[#This Row],[Fin]])-MAX(deb_nuit,Horaires356731011[[#This Row],[début]])+MAX(MIN(fin_nuit-1,Horaires356731011[[#This Row],[Fin]])-MIN(fin_nuit-1,Horaires356731011[[#This Row],[début]]),0))*24)</f>
        <v>0</v>
      </c>
      <c r="O21" s="50">
        <f>(MAX(0,MIN(Horaires356731011[[#This Row],[Fin corrigée si nuit]],fin_nuit)-MAX(Horaires356731011[[#This Row],[début]],deb_nuit))-IF(Horaires356731011[[#This Row],[PNP Début]]=0,0,MIN(Horaires356731011[[#This Row],[PNP Fin corrigée]],fin_nuit)-MAX(Horaires356731011[[#This Row],[PNP Début corrigé]],deb_nuit)))*24</f>
        <v>0</v>
      </c>
      <c r="P21" s="50">
        <f>(IF(WEEKDAY(Horaires356731011[[#This Row],[Date]],2)=7,MAX(0,MIN(fin_dimJF,Horaires356731011[[#This Row],[Fin corrigée si nuit]])-MAX(deb_dimJF,Horaires356731011[[#This Row],[début]])),0)+IF(WEEKDAY(Horaires356731011[[#This Row],[Date]],2)=6,MAX(0,Horaires356731011[[#This Row],[Fin corrigée si nuit]]-(1+deb_dimJF)),0))*24</f>
        <v>0</v>
      </c>
      <c r="Q21" s="50">
        <f>(IF(WEEKDAY(Horaires356731011[[#This Row],[Date]],2)=7,MAX(0,MIN(fin_dimJF,Horaires356731011[[#This Row],[Fin corrigée si nuit]])-MAX(deb_dimJF,Horaires356731011[[#This Row],[début]])),0)+IF(WEEKDAY(Horaires356731011[[#This Row],[Date]],2)=6,MAX(0,Horaires356731011[[#This Row],[Fin corrigée si nuit]]-(1+deb_dimJF)),0))*24-
(IF(WEEKDAY(Horaires356731011[[#This Row],[Date]],2)=7,MAX(0,MIN(fin_dimJF,Horaires356731011[[#This Row],[PNP Fin corrigée]])-MAX(deb_dimJF,Horaires356731011[[#This Row],[PNP Début corrigé]])),0)+IF(WEEKDAY(Horaires356731011[[#This Row],[Date]],2)=6,MAX(0,Horaires356731011[[#This Row],[PNP Fin corrigée]]-(1+deb_dimJF)),0))*24</f>
        <v>0</v>
      </c>
      <c r="R21" s="50">
        <f>(IF(COUNTIF(JF,Horaires356731011[[#This Row],[Date]]),MAX(0,MIN(fin_dimJF,Horaires356731011[[#This Row],[Fin corrigée si nuit]])-MAX(deb_dimJF,Horaires356731011[[#This Row],[début]])),0)+IF(COUNTIF(JF,Horaires356731011[[#This Row],[Date]]+1),MAX(0,Horaires356731011[[#This Row],[Fin corrigée si nuit]]-(1+deb_dimJF)),0))*24</f>
        <v>0</v>
      </c>
      <c r="S21" s="50">
        <f>(IF(COUNTIF(JF,Horaires356731011[[#This Row],[Date]]),MAX(0,MIN(fin_dimJF,Horaires356731011[[#This Row],[Fin corrigée si nuit]])-MAX(deb_dimJF,Horaires356731011[[#This Row],[début]])),0)+IF(COUNTIF(JF,Horaires356731011[[#This Row],[Date]]+1),MAX(0,Horaires356731011[[#This Row],[Fin corrigée si nuit]]-(1+deb_dimJF)),0))*24-
(IF(COUNTIF(JF,Horaires356731011[[#This Row],[Date]]),MAX(0,MIN(fin_dimJF,Horaires356731011[[#This Row],[PNP Fin corrigée]])-MAX(deb_dimJF,Horaires356731011[[#This Row],[PNP Début corrigé]])),0)+IF(COUNTIF(JF,Horaires356731011[[#This Row],[Date]]+1),MAX(0,Horaires356731011[[#This Row],[PNP Fin corrigée]]-(1+deb_dimJF)),0))*24</f>
        <v>0</v>
      </c>
    </row>
    <row r="22" spans="1:19" ht="14.4" customHeight="1" x14ac:dyDescent="0.35">
      <c r="A22" s="5"/>
      <c r="B22" s="1"/>
      <c r="C22" s="13"/>
      <c r="D22" s="13"/>
      <c r="E22" s="3"/>
      <c r="F22" s="3"/>
      <c r="G22" s="3"/>
      <c r="H22" s="3"/>
      <c r="I22" s="51">
        <f>0.1*(Horaires356731011[[#This Row],[Heures de nuit]]+Horaires356731011[[#This Row],[heures jour dimanche]]+Horaires356731011[[#This Row],[heures jour fériés]])</f>
        <v>0</v>
      </c>
      <c r="J22" s="52">
        <f>(MOD(Horaires356731011[[#This Row],[Fin]]-Horaires356731011[[#This Row],[début]],1)-MOD(Horaires356731011[[#This Row],[PNP Fin]]-Horaires356731011[[#This Row],[PNP Début]],1))*24</f>
        <v>0</v>
      </c>
      <c r="K22" s="53">
        <f>IF(Horaires356731011[[#This Row],[PNP Début]]=0,0,IF(Horaires356731011[[#This Row],[PNP Début]]&lt;Horaires356731011[[#This Row],[début]],1,0)+Horaires356731011[[#This Row],[PNP Début]])</f>
        <v>0</v>
      </c>
      <c r="L22" s="54">
        <f>IF(Horaires356731011[[#This Row],[PNP Fin]]=0,0,IF(Horaires356731011[[#This Row],[PNP Fin]]&lt;Horaires356731011[[#This Row],[début]],1,0)+Horaires356731011[[#This Row],[PNP Fin]])</f>
        <v>0</v>
      </c>
      <c r="M22" s="54">
        <f>IF(Horaires356731011[[#This Row],[Fin]]&lt;Horaires356731011[[#This Row],[début]],1,0)+Horaires356731011[[#This Row],[Fin]]</f>
        <v>0</v>
      </c>
      <c r="N22" s="35">
        <f>IF(Horaires356731011[[#This Row],[Fin]]&lt;Horaires356731011[[#This Row],[début]],MAX(0,MIN(Horaires356731011[[#This Row],[Fin corrigée si nuit]],fin_nuit)-MAX(Horaires356731011[[#This Row],[début]],deb_nuit))*24,(MAX(deb_nuit,Horaires356731011[[#This Row],[Fin]])-MAX(deb_nuit,Horaires356731011[[#This Row],[début]])+MAX(MIN(fin_nuit-1,Horaires356731011[[#This Row],[Fin]])-MIN(fin_nuit-1,Horaires356731011[[#This Row],[début]]),0))*24)</f>
        <v>0</v>
      </c>
      <c r="O22" s="55">
        <f>(MAX(0,MIN(Horaires356731011[[#This Row],[Fin corrigée si nuit]],fin_nuit)-MAX(Horaires356731011[[#This Row],[début]],deb_nuit))-IF(Horaires356731011[[#This Row],[PNP Début]]=0,0,MIN(Horaires356731011[[#This Row],[PNP Fin corrigée]],fin_nuit)-MAX(Horaires356731011[[#This Row],[PNP Début corrigé]],deb_nuit)))*24</f>
        <v>0</v>
      </c>
      <c r="P22" s="55">
        <f>(IF(WEEKDAY(Horaires356731011[[#This Row],[Date]],2)=7,MAX(0,MIN(fin_dimJF,Horaires356731011[[#This Row],[Fin corrigée si nuit]])-MAX(deb_dimJF,Horaires356731011[[#This Row],[début]])),0)+IF(WEEKDAY(Horaires356731011[[#This Row],[Date]],2)=6,MAX(0,Horaires356731011[[#This Row],[Fin corrigée si nuit]]-(1+deb_dimJF)),0))*24</f>
        <v>0</v>
      </c>
      <c r="Q22" s="55">
        <f>(IF(WEEKDAY(Horaires356731011[[#This Row],[Date]],2)=7,MAX(0,MIN(fin_dimJF,Horaires356731011[[#This Row],[Fin corrigée si nuit]])-MAX(deb_dimJF,Horaires356731011[[#This Row],[début]])),0)+IF(WEEKDAY(Horaires356731011[[#This Row],[Date]],2)=6,MAX(0,Horaires356731011[[#This Row],[Fin corrigée si nuit]]-(1+deb_dimJF)),0))*24-
(IF(WEEKDAY(Horaires356731011[[#This Row],[Date]],2)=7,MAX(0,MIN(fin_dimJF,Horaires356731011[[#This Row],[PNP Fin corrigée]])-MAX(deb_dimJF,Horaires356731011[[#This Row],[PNP Début corrigé]])),0)+IF(WEEKDAY(Horaires356731011[[#This Row],[Date]],2)=6,MAX(0,Horaires356731011[[#This Row],[PNP Fin corrigée]]-(1+deb_dimJF)),0))*24</f>
        <v>0</v>
      </c>
      <c r="R22" s="55">
        <f>(IF(COUNTIF(JF,Horaires356731011[[#This Row],[Date]]),MAX(0,MIN(fin_dimJF,Horaires356731011[[#This Row],[Fin corrigée si nuit]])-MAX(deb_dimJF,Horaires356731011[[#This Row],[début]])),0)+IF(COUNTIF(JF,Horaires356731011[[#This Row],[Date]]+1),MAX(0,Horaires356731011[[#This Row],[Fin corrigée si nuit]]-(1+deb_dimJF)),0))*24</f>
        <v>0</v>
      </c>
      <c r="S22" s="55">
        <f>(IF(COUNTIF(JF,Horaires356731011[[#This Row],[Date]]),MAX(0,MIN(fin_dimJF,Horaires356731011[[#This Row],[Fin corrigée si nuit]])-MAX(deb_dimJF,Horaires356731011[[#This Row],[début]])),0)+IF(COUNTIF(JF,Horaires356731011[[#This Row],[Date]]+1),MAX(0,Horaires356731011[[#This Row],[Fin corrigée si nuit]]-(1+deb_dimJF)),0))*24-
(IF(COUNTIF(JF,Horaires356731011[[#This Row],[Date]]),MAX(0,MIN(fin_dimJF,Horaires356731011[[#This Row],[PNP Fin corrigée]])-MAX(deb_dimJF,Horaires356731011[[#This Row],[PNP Début corrigé]])),0)+IF(COUNTIF(JF,Horaires356731011[[#This Row],[Date]]+1),MAX(0,Horaires356731011[[#This Row],[PNP Fin corrigée]]-(1+deb_dimJF)),0))*24</f>
        <v>0</v>
      </c>
    </row>
    <row r="23" spans="1:19" ht="14.4" customHeight="1" x14ac:dyDescent="0.35">
      <c r="A23" s="5"/>
      <c r="B23" s="1"/>
      <c r="C23" s="13"/>
      <c r="D23" s="13"/>
      <c r="E23" s="3"/>
      <c r="F23" s="3"/>
      <c r="G23" s="3"/>
      <c r="H23" s="3"/>
      <c r="I23" s="51">
        <f>0.1*(Horaires356731011[[#This Row],[Heures de nuit]]+Horaires356731011[[#This Row],[heures jour dimanche]]+Horaires356731011[[#This Row],[heures jour fériés]])</f>
        <v>0</v>
      </c>
      <c r="J23" s="52">
        <f>(MOD(Horaires356731011[[#This Row],[Fin]]-Horaires356731011[[#This Row],[début]],1)-MOD(Horaires356731011[[#This Row],[PNP Fin]]-Horaires356731011[[#This Row],[PNP Début]],1))*24</f>
        <v>0</v>
      </c>
      <c r="K23" s="53">
        <f>IF(Horaires356731011[[#This Row],[PNP Début]]=0,0,IF(Horaires356731011[[#This Row],[PNP Début]]&lt;Horaires356731011[[#This Row],[début]],1,0)+Horaires356731011[[#This Row],[PNP Début]])</f>
        <v>0</v>
      </c>
      <c r="L23" s="54">
        <f>IF(Horaires356731011[[#This Row],[PNP Fin]]=0,0,IF(Horaires356731011[[#This Row],[PNP Fin]]&lt;Horaires356731011[[#This Row],[début]],1,0)+Horaires356731011[[#This Row],[PNP Fin]])</f>
        <v>0</v>
      </c>
      <c r="M23" s="54">
        <f>IF(Horaires356731011[[#This Row],[Fin]]&lt;Horaires356731011[[#This Row],[début]],1,0)+Horaires356731011[[#This Row],[Fin]]</f>
        <v>0</v>
      </c>
      <c r="N23" s="35">
        <f>IF(Horaires356731011[[#This Row],[Fin]]&lt;Horaires356731011[[#This Row],[début]],MAX(0,MIN(Horaires356731011[[#This Row],[Fin corrigée si nuit]],fin_nuit)-MAX(Horaires356731011[[#This Row],[début]],deb_nuit))*24,(MAX(deb_nuit,Horaires356731011[[#This Row],[Fin]])-MAX(deb_nuit,Horaires356731011[[#This Row],[début]])+MAX(MIN(fin_nuit-1,Horaires356731011[[#This Row],[Fin]])-MIN(fin_nuit-1,Horaires356731011[[#This Row],[début]]),0))*24)</f>
        <v>0</v>
      </c>
      <c r="O23" s="55">
        <f>(MAX(0,MIN(Horaires356731011[[#This Row],[Fin corrigée si nuit]],fin_nuit)-MAX(Horaires356731011[[#This Row],[début]],deb_nuit))-IF(Horaires356731011[[#This Row],[PNP Début]]=0,0,MIN(Horaires356731011[[#This Row],[PNP Fin corrigée]],fin_nuit)-MAX(Horaires356731011[[#This Row],[PNP Début corrigé]],deb_nuit)))*24</f>
        <v>0</v>
      </c>
      <c r="P23" s="55">
        <f>(IF(WEEKDAY(Horaires356731011[[#This Row],[Date]],2)=7,MAX(0,MIN(fin_dimJF,Horaires356731011[[#This Row],[Fin corrigée si nuit]])-MAX(deb_dimJF,Horaires356731011[[#This Row],[début]])),0)+IF(WEEKDAY(Horaires356731011[[#This Row],[Date]],2)=6,MAX(0,Horaires356731011[[#This Row],[Fin corrigée si nuit]]-(1+deb_dimJF)),0))*24</f>
        <v>0</v>
      </c>
      <c r="Q23" s="55">
        <f>(IF(WEEKDAY(Horaires356731011[[#This Row],[Date]],2)=7,MAX(0,MIN(fin_dimJF,Horaires356731011[[#This Row],[Fin corrigée si nuit]])-MAX(deb_dimJF,Horaires356731011[[#This Row],[début]])),0)+IF(WEEKDAY(Horaires356731011[[#This Row],[Date]],2)=6,MAX(0,Horaires356731011[[#This Row],[Fin corrigée si nuit]]-(1+deb_dimJF)),0))*24-
(IF(WEEKDAY(Horaires356731011[[#This Row],[Date]],2)=7,MAX(0,MIN(fin_dimJF,Horaires356731011[[#This Row],[PNP Fin corrigée]])-MAX(deb_dimJF,Horaires356731011[[#This Row],[PNP Début corrigé]])),0)+IF(WEEKDAY(Horaires356731011[[#This Row],[Date]],2)=6,MAX(0,Horaires356731011[[#This Row],[PNP Fin corrigée]]-(1+deb_dimJF)),0))*24</f>
        <v>0</v>
      </c>
      <c r="R23" s="55">
        <f>(IF(COUNTIF(JF,Horaires356731011[[#This Row],[Date]]),MAX(0,MIN(fin_dimJF,Horaires356731011[[#This Row],[Fin corrigée si nuit]])-MAX(deb_dimJF,Horaires356731011[[#This Row],[début]])),0)+IF(COUNTIF(JF,Horaires356731011[[#This Row],[Date]]+1),MAX(0,Horaires356731011[[#This Row],[Fin corrigée si nuit]]-(1+deb_dimJF)),0))*24</f>
        <v>0</v>
      </c>
      <c r="S23" s="55">
        <f>(IF(COUNTIF(JF,Horaires356731011[[#This Row],[Date]]),MAX(0,MIN(fin_dimJF,Horaires356731011[[#This Row],[Fin corrigée si nuit]])-MAX(deb_dimJF,Horaires356731011[[#This Row],[début]])),0)+IF(COUNTIF(JF,Horaires356731011[[#This Row],[Date]]+1),MAX(0,Horaires356731011[[#This Row],[Fin corrigée si nuit]]-(1+deb_dimJF)),0))*24-
(IF(COUNTIF(JF,Horaires356731011[[#This Row],[Date]]),MAX(0,MIN(fin_dimJF,Horaires356731011[[#This Row],[PNP Fin corrigée]])-MAX(deb_dimJF,Horaires356731011[[#This Row],[PNP Début corrigé]])),0)+IF(COUNTIF(JF,Horaires356731011[[#This Row],[Date]]+1),MAX(0,Horaires356731011[[#This Row],[PNP Fin corrigée]]-(1+deb_dimJF)),0))*24</f>
        <v>0</v>
      </c>
    </row>
    <row r="24" spans="1:19" ht="14.4" customHeight="1" x14ac:dyDescent="0.35">
      <c r="A24" s="5"/>
      <c r="B24" s="1"/>
      <c r="C24" s="2"/>
      <c r="D24" s="2"/>
      <c r="E24" s="3"/>
      <c r="F24" s="3"/>
      <c r="G24" s="3"/>
      <c r="H24" s="3"/>
      <c r="I24" s="51">
        <f>0.1*(Horaires356731011[[#This Row],[Heures de nuit]]+Horaires356731011[[#This Row],[heures jour dimanche]]+Horaires356731011[[#This Row],[heures jour fériés]])</f>
        <v>0</v>
      </c>
      <c r="J24" s="52">
        <f>(MOD(Horaires356731011[[#This Row],[Fin]]-Horaires356731011[[#This Row],[début]],1)-MOD(Horaires356731011[[#This Row],[PNP Fin]]-Horaires356731011[[#This Row],[PNP Début]],1))*24</f>
        <v>0</v>
      </c>
      <c r="K24" s="53">
        <f>IF(Horaires356731011[[#This Row],[PNP Début]]=0,0,IF(Horaires356731011[[#This Row],[PNP Début]]&lt;Horaires356731011[[#This Row],[début]],1,0)+Horaires356731011[[#This Row],[PNP Début]])</f>
        <v>0</v>
      </c>
      <c r="L24" s="54">
        <f>IF(Horaires356731011[[#This Row],[PNP Fin]]=0,0,IF(Horaires356731011[[#This Row],[PNP Fin]]&lt;Horaires356731011[[#This Row],[début]],1,0)+Horaires356731011[[#This Row],[PNP Fin]])</f>
        <v>0</v>
      </c>
      <c r="M24" s="54">
        <f>IF(Horaires356731011[[#This Row],[Fin]]&lt;Horaires356731011[[#This Row],[début]],1,0)+Horaires356731011[[#This Row],[Fin]]</f>
        <v>0</v>
      </c>
      <c r="N24" s="35">
        <f>IF(Horaires356731011[[#This Row],[Fin]]&lt;Horaires356731011[[#This Row],[début]],MAX(0,MIN(Horaires356731011[[#This Row],[Fin corrigée si nuit]],fin_nuit)-MAX(Horaires356731011[[#This Row],[début]],deb_nuit))*24,(MAX(deb_nuit,Horaires356731011[[#This Row],[Fin]])-MAX(deb_nuit,Horaires356731011[[#This Row],[début]])+MAX(MIN(fin_nuit-1,Horaires356731011[[#This Row],[Fin]])-MIN(fin_nuit-1,Horaires356731011[[#This Row],[début]]),0))*24)</f>
        <v>0</v>
      </c>
      <c r="O24" s="55">
        <f>(MAX(0,MIN(Horaires356731011[[#This Row],[Fin corrigée si nuit]],fin_nuit)-MAX(Horaires356731011[[#This Row],[début]],deb_nuit))-IF(Horaires356731011[[#This Row],[PNP Début]]=0,0,MIN(Horaires356731011[[#This Row],[PNP Fin corrigée]],fin_nuit)-MAX(Horaires356731011[[#This Row],[PNP Début corrigé]],deb_nuit)))*24</f>
        <v>0</v>
      </c>
      <c r="P24" s="55">
        <f>(IF(WEEKDAY(Horaires356731011[[#This Row],[Date]],2)=7,MAX(0,MIN(fin_dimJF,Horaires356731011[[#This Row],[Fin corrigée si nuit]])-MAX(deb_dimJF,Horaires356731011[[#This Row],[début]])),0)+IF(WEEKDAY(Horaires356731011[[#This Row],[Date]],2)=6,MAX(0,Horaires356731011[[#This Row],[Fin corrigée si nuit]]-(1+deb_dimJF)),0))*24</f>
        <v>0</v>
      </c>
      <c r="Q24" s="55">
        <f>(IF(WEEKDAY(Horaires356731011[[#This Row],[Date]],2)=7,MAX(0,MIN(fin_dimJF,Horaires356731011[[#This Row],[Fin corrigée si nuit]])-MAX(deb_dimJF,Horaires356731011[[#This Row],[début]])),0)+IF(WEEKDAY(Horaires356731011[[#This Row],[Date]],2)=6,MAX(0,Horaires356731011[[#This Row],[Fin corrigée si nuit]]-(1+deb_dimJF)),0))*24-
(IF(WEEKDAY(Horaires356731011[[#This Row],[Date]],2)=7,MAX(0,MIN(fin_dimJF,Horaires356731011[[#This Row],[PNP Fin corrigée]])-MAX(deb_dimJF,Horaires356731011[[#This Row],[PNP Début corrigé]])),0)+IF(WEEKDAY(Horaires356731011[[#This Row],[Date]],2)=6,MAX(0,Horaires356731011[[#This Row],[PNP Fin corrigée]]-(1+deb_dimJF)),0))*24</f>
        <v>0</v>
      </c>
      <c r="R24" s="55">
        <f>(IF(COUNTIF(JF,Horaires356731011[[#This Row],[Date]]),MAX(0,MIN(fin_dimJF,Horaires356731011[[#This Row],[Fin corrigée si nuit]])-MAX(deb_dimJF,Horaires356731011[[#This Row],[début]])),0)+IF(COUNTIF(JF,Horaires356731011[[#This Row],[Date]]+1),MAX(0,Horaires356731011[[#This Row],[Fin corrigée si nuit]]-(1+deb_dimJF)),0))*24</f>
        <v>0</v>
      </c>
      <c r="S24" s="55">
        <f>(IF(COUNTIF(JF,Horaires356731011[[#This Row],[Date]]),MAX(0,MIN(fin_dimJF,Horaires356731011[[#This Row],[Fin corrigée si nuit]])-MAX(deb_dimJF,Horaires356731011[[#This Row],[début]])),0)+IF(COUNTIF(JF,Horaires356731011[[#This Row],[Date]]+1),MAX(0,Horaires356731011[[#This Row],[Fin corrigée si nuit]]-(1+deb_dimJF)),0))*24-
(IF(COUNTIF(JF,Horaires356731011[[#This Row],[Date]]),MAX(0,MIN(fin_dimJF,Horaires356731011[[#This Row],[PNP Fin corrigée]])-MAX(deb_dimJF,Horaires356731011[[#This Row],[PNP Début corrigé]])),0)+IF(COUNTIF(JF,Horaires356731011[[#This Row],[Date]]+1),MAX(0,Horaires356731011[[#This Row],[PNP Fin corrigée]]-(1+deb_dimJF)),0))*24</f>
        <v>0</v>
      </c>
    </row>
    <row r="25" spans="1:19" ht="14.4" customHeight="1" x14ac:dyDescent="0.35">
      <c r="A25" s="5"/>
      <c r="B25" s="1"/>
      <c r="C25" s="2"/>
      <c r="D25" s="2"/>
      <c r="E25" s="3"/>
      <c r="F25" s="3"/>
      <c r="G25" s="3"/>
      <c r="H25" s="3"/>
      <c r="I25" s="51">
        <f>0.1*(Horaires356731011[[#This Row],[Heures de nuit]]+Horaires356731011[[#This Row],[heures jour dimanche]]+Horaires356731011[[#This Row],[heures jour fériés]])</f>
        <v>0</v>
      </c>
      <c r="J25" s="52">
        <f>(MOD(Horaires356731011[[#This Row],[Fin]]-Horaires356731011[[#This Row],[début]],1)-MOD(Horaires356731011[[#This Row],[PNP Fin]]-Horaires356731011[[#This Row],[PNP Début]],1))*24</f>
        <v>0</v>
      </c>
      <c r="K25" s="53">
        <f>IF(Horaires356731011[[#This Row],[PNP Début]]=0,0,IF(Horaires356731011[[#This Row],[PNP Début]]&lt;Horaires356731011[[#This Row],[début]],1,0)+Horaires356731011[[#This Row],[PNP Début]])</f>
        <v>0</v>
      </c>
      <c r="L25" s="54">
        <f>IF(Horaires356731011[[#This Row],[PNP Fin]]=0,0,IF(Horaires356731011[[#This Row],[PNP Fin]]&lt;Horaires356731011[[#This Row],[début]],1,0)+Horaires356731011[[#This Row],[PNP Fin]])</f>
        <v>0</v>
      </c>
      <c r="M25" s="54">
        <f>IF(Horaires356731011[[#This Row],[Fin]]&lt;Horaires356731011[[#This Row],[début]],1,0)+Horaires356731011[[#This Row],[Fin]]</f>
        <v>0</v>
      </c>
      <c r="N25" s="35">
        <f>IF(Horaires356731011[[#This Row],[Fin]]&lt;Horaires356731011[[#This Row],[début]],MAX(0,MIN(Horaires356731011[[#This Row],[Fin corrigée si nuit]],fin_nuit)-MAX(Horaires356731011[[#This Row],[début]],deb_nuit))*24,(MAX(deb_nuit,Horaires356731011[[#This Row],[Fin]])-MAX(deb_nuit,Horaires356731011[[#This Row],[début]])+MAX(MIN(fin_nuit-1,Horaires356731011[[#This Row],[Fin]])-MIN(fin_nuit-1,Horaires356731011[[#This Row],[début]]),0))*24)</f>
        <v>0</v>
      </c>
      <c r="O25" s="55">
        <f>(MAX(0,MIN(Horaires356731011[[#This Row],[Fin corrigée si nuit]],fin_nuit)-MAX(Horaires356731011[[#This Row],[début]],deb_nuit))-IF(Horaires356731011[[#This Row],[PNP Début]]=0,0,MIN(Horaires356731011[[#This Row],[PNP Fin corrigée]],fin_nuit)-MAX(Horaires356731011[[#This Row],[PNP Début corrigé]],deb_nuit)))*24</f>
        <v>0</v>
      </c>
      <c r="P25" s="55">
        <f>(IF(WEEKDAY(Horaires356731011[[#This Row],[Date]],2)=7,MAX(0,MIN(fin_dimJF,Horaires356731011[[#This Row],[Fin corrigée si nuit]])-MAX(deb_dimJF,Horaires356731011[[#This Row],[début]])),0)+IF(WEEKDAY(Horaires356731011[[#This Row],[Date]],2)=6,MAX(0,Horaires356731011[[#This Row],[Fin corrigée si nuit]]-(1+deb_dimJF)),0))*24</f>
        <v>0</v>
      </c>
      <c r="Q25" s="55">
        <f>(IF(WEEKDAY(Horaires356731011[[#This Row],[Date]],2)=7,MAX(0,MIN(fin_dimJF,Horaires356731011[[#This Row],[Fin corrigée si nuit]])-MAX(deb_dimJF,Horaires356731011[[#This Row],[début]])),0)+IF(WEEKDAY(Horaires356731011[[#This Row],[Date]],2)=6,MAX(0,Horaires356731011[[#This Row],[Fin corrigée si nuit]]-(1+deb_dimJF)),0))*24-
(IF(WEEKDAY(Horaires356731011[[#This Row],[Date]],2)=7,MAX(0,MIN(fin_dimJF,Horaires356731011[[#This Row],[PNP Fin corrigée]])-MAX(deb_dimJF,Horaires356731011[[#This Row],[PNP Début corrigé]])),0)+IF(WEEKDAY(Horaires356731011[[#This Row],[Date]],2)=6,MAX(0,Horaires356731011[[#This Row],[PNP Fin corrigée]]-(1+deb_dimJF)),0))*24</f>
        <v>0</v>
      </c>
      <c r="R25" s="55">
        <f>(IF(COUNTIF(JF,Horaires356731011[[#This Row],[Date]]),MAX(0,MIN(fin_dimJF,Horaires356731011[[#This Row],[Fin corrigée si nuit]])-MAX(deb_dimJF,Horaires356731011[[#This Row],[début]])),0)+IF(COUNTIF(JF,Horaires356731011[[#This Row],[Date]]+1),MAX(0,Horaires356731011[[#This Row],[Fin corrigée si nuit]]-(1+deb_dimJF)),0))*24</f>
        <v>0</v>
      </c>
      <c r="S25" s="55">
        <f>(IF(COUNTIF(JF,Horaires356731011[[#This Row],[Date]]),MAX(0,MIN(fin_dimJF,Horaires356731011[[#This Row],[Fin corrigée si nuit]])-MAX(deb_dimJF,Horaires356731011[[#This Row],[début]])),0)+IF(COUNTIF(JF,Horaires356731011[[#This Row],[Date]]+1),MAX(0,Horaires356731011[[#This Row],[Fin corrigée si nuit]]-(1+deb_dimJF)),0))*24-
(IF(COUNTIF(JF,Horaires356731011[[#This Row],[Date]]),MAX(0,MIN(fin_dimJF,Horaires356731011[[#This Row],[PNP Fin corrigée]])-MAX(deb_dimJF,Horaires356731011[[#This Row],[PNP Début corrigé]])),0)+IF(COUNTIF(JF,Horaires356731011[[#This Row],[Date]]+1),MAX(0,Horaires356731011[[#This Row],[PNP Fin corrigée]]-(1+deb_dimJF)),0))*24</f>
        <v>0</v>
      </c>
    </row>
    <row r="26" spans="1:19" ht="14.4" customHeight="1" x14ac:dyDescent="0.35">
      <c r="A26" s="5"/>
      <c r="B26" s="1"/>
      <c r="C26" s="2"/>
      <c r="D26" s="2"/>
      <c r="E26" s="3"/>
      <c r="F26" s="3"/>
      <c r="G26" s="3"/>
      <c r="H26" s="3"/>
      <c r="I26" s="51">
        <f>0.1*(Horaires356731011[[#This Row],[Heures de nuit]]+Horaires356731011[[#This Row],[heures jour dimanche]]+Horaires356731011[[#This Row],[heures jour fériés]])</f>
        <v>0</v>
      </c>
      <c r="J26" s="52">
        <f>(MOD(Horaires356731011[[#This Row],[Fin]]-Horaires356731011[[#This Row],[début]],1)-MOD(Horaires356731011[[#This Row],[PNP Fin]]-Horaires356731011[[#This Row],[PNP Début]],1))*24</f>
        <v>0</v>
      </c>
      <c r="K26" s="53">
        <f>IF(Horaires356731011[[#This Row],[PNP Début]]=0,0,IF(Horaires356731011[[#This Row],[PNP Début]]&lt;Horaires356731011[[#This Row],[début]],1,0)+Horaires356731011[[#This Row],[PNP Début]])</f>
        <v>0</v>
      </c>
      <c r="L26" s="54">
        <f>IF(Horaires356731011[[#This Row],[PNP Fin]]=0,0,IF(Horaires356731011[[#This Row],[PNP Fin]]&lt;Horaires356731011[[#This Row],[début]],1,0)+Horaires356731011[[#This Row],[PNP Fin]])</f>
        <v>0</v>
      </c>
      <c r="M26" s="54">
        <f>IF(Horaires356731011[[#This Row],[Fin]]&lt;Horaires356731011[[#This Row],[début]],1,0)+Horaires356731011[[#This Row],[Fin]]</f>
        <v>0</v>
      </c>
      <c r="N26" s="35">
        <f>IF(Horaires356731011[[#This Row],[Fin]]&lt;Horaires356731011[[#This Row],[début]],MAX(0,MIN(Horaires356731011[[#This Row],[Fin corrigée si nuit]],fin_nuit)-MAX(Horaires356731011[[#This Row],[début]],deb_nuit))*24,(MAX(deb_nuit,Horaires356731011[[#This Row],[Fin]])-MAX(deb_nuit,Horaires356731011[[#This Row],[début]])+MAX(MIN(fin_nuit-1,Horaires356731011[[#This Row],[Fin]])-MIN(fin_nuit-1,Horaires356731011[[#This Row],[début]]),0))*24)</f>
        <v>0</v>
      </c>
      <c r="O26" s="55">
        <f>(MAX(0,MIN(Horaires356731011[[#This Row],[Fin corrigée si nuit]],fin_nuit)-MAX(Horaires356731011[[#This Row],[début]],deb_nuit))-IF(Horaires356731011[[#This Row],[PNP Début]]=0,0,MIN(Horaires356731011[[#This Row],[PNP Fin corrigée]],fin_nuit)-MAX(Horaires356731011[[#This Row],[PNP Début corrigé]],deb_nuit)))*24</f>
        <v>0</v>
      </c>
      <c r="P26" s="55">
        <f>(IF(WEEKDAY(Horaires356731011[[#This Row],[Date]],2)=7,MAX(0,MIN(fin_dimJF,Horaires356731011[[#This Row],[Fin corrigée si nuit]])-MAX(deb_dimJF,Horaires356731011[[#This Row],[début]])),0)+IF(WEEKDAY(Horaires356731011[[#This Row],[Date]],2)=6,MAX(0,Horaires356731011[[#This Row],[Fin corrigée si nuit]]-(1+deb_dimJF)),0))*24</f>
        <v>0</v>
      </c>
      <c r="Q26" s="55">
        <f>(IF(WEEKDAY(Horaires356731011[[#This Row],[Date]],2)=7,MAX(0,MIN(fin_dimJF,Horaires356731011[[#This Row],[Fin corrigée si nuit]])-MAX(deb_dimJF,Horaires356731011[[#This Row],[début]])),0)+IF(WEEKDAY(Horaires356731011[[#This Row],[Date]],2)=6,MAX(0,Horaires356731011[[#This Row],[Fin corrigée si nuit]]-(1+deb_dimJF)),0))*24-
(IF(WEEKDAY(Horaires356731011[[#This Row],[Date]],2)=7,MAX(0,MIN(fin_dimJF,Horaires356731011[[#This Row],[PNP Fin corrigée]])-MAX(deb_dimJF,Horaires356731011[[#This Row],[PNP Début corrigé]])),0)+IF(WEEKDAY(Horaires356731011[[#This Row],[Date]],2)=6,MAX(0,Horaires356731011[[#This Row],[PNP Fin corrigée]]-(1+deb_dimJF)),0))*24</f>
        <v>0</v>
      </c>
      <c r="R26" s="55">
        <f>(IF(COUNTIF(JF,Horaires356731011[[#This Row],[Date]]),MAX(0,MIN(fin_dimJF,Horaires356731011[[#This Row],[Fin corrigée si nuit]])-MAX(deb_dimJF,Horaires356731011[[#This Row],[début]])),0)+IF(COUNTIF(JF,Horaires356731011[[#This Row],[Date]]+1),MAX(0,Horaires356731011[[#This Row],[Fin corrigée si nuit]]-(1+deb_dimJF)),0))*24</f>
        <v>0</v>
      </c>
      <c r="S26" s="55">
        <f>(IF(COUNTIF(JF,Horaires356731011[[#This Row],[Date]]),MAX(0,MIN(fin_dimJF,Horaires356731011[[#This Row],[Fin corrigée si nuit]])-MAX(deb_dimJF,Horaires356731011[[#This Row],[début]])),0)+IF(COUNTIF(JF,Horaires356731011[[#This Row],[Date]]+1),MAX(0,Horaires356731011[[#This Row],[Fin corrigée si nuit]]-(1+deb_dimJF)),0))*24-
(IF(COUNTIF(JF,Horaires356731011[[#This Row],[Date]]),MAX(0,MIN(fin_dimJF,Horaires356731011[[#This Row],[PNP Fin corrigée]])-MAX(deb_dimJF,Horaires356731011[[#This Row],[PNP Début corrigé]])),0)+IF(COUNTIF(JF,Horaires356731011[[#This Row],[Date]]+1),MAX(0,Horaires356731011[[#This Row],[PNP Fin corrigée]]-(1+deb_dimJF)),0))*24</f>
        <v>0</v>
      </c>
    </row>
    <row r="27" spans="1:19" ht="14.4" customHeight="1" x14ac:dyDescent="0.35">
      <c r="A27" s="5"/>
      <c r="B27" s="1"/>
      <c r="C27" s="2"/>
      <c r="D27" s="2"/>
      <c r="E27" s="3"/>
      <c r="F27" s="3"/>
      <c r="G27" s="3"/>
      <c r="H27" s="3"/>
      <c r="I27" s="51">
        <f>0.1*(Horaires356731011[[#This Row],[Heures de nuit]]+Horaires356731011[[#This Row],[heures jour dimanche]]+Horaires356731011[[#This Row],[heures jour fériés]])</f>
        <v>0</v>
      </c>
      <c r="J27" s="52">
        <f>(MOD(Horaires356731011[[#This Row],[Fin]]-Horaires356731011[[#This Row],[début]],1)-MOD(Horaires356731011[[#This Row],[PNP Fin]]-Horaires356731011[[#This Row],[PNP Début]],1))*24</f>
        <v>0</v>
      </c>
      <c r="K27" s="53">
        <f>IF(Horaires356731011[[#This Row],[PNP Début]]=0,0,IF(Horaires356731011[[#This Row],[PNP Début]]&lt;Horaires356731011[[#This Row],[début]],1,0)+Horaires356731011[[#This Row],[PNP Début]])</f>
        <v>0</v>
      </c>
      <c r="L27" s="54">
        <f>IF(Horaires356731011[[#This Row],[PNP Fin]]=0,0,IF(Horaires356731011[[#This Row],[PNP Fin]]&lt;Horaires356731011[[#This Row],[début]],1,0)+Horaires356731011[[#This Row],[PNP Fin]])</f>
        <v>0</v>
      </c>
      <c r="M27" s="54">
        <f>IF(Horaires356731011[[#This Row],[Fin]]&lt;Horaires356731011[[#This Row],[début]],1,0)+Horaires356731011[[#This Row],[Fin]]</f>
        <v>0</v>
      </c>
      <c r="N27" s="35">
        <f>IF(Horaires356731011[[#This Row],[Fin]]&lt;Horaires356731011[[#This Row],[début]],MAX(0,MIN(Horaires356731011[[#This Row],[Fin corrigée si nuit]],fin_nuit)-MAX(Horaires356731011[[#This Row],[début]],deb_nuit))*24,(MAX(deb_nuit,Horaires356731011[[#This Row],[Fin]])-MAX(deb_nuit,Horaires356731011[[#This Row],[début]])+MAX(MIN(fin_nuit-1,Horaires356731011[[#This Row],[Fin]])-MIN(fin_nuit-1,Horaires356731011[[#This Row],[début]]),0))*24)</f>
        <v>0</v>
      </c>
      <c r="O27" s="55">
        <f>(MAX(0,MIN(Horaires356731011[[#This Row],[Fin corrigée si nuit]],fin_nuit)-MAX(Horaires356731011[[#This Row],[début]],deb_nuit))-IF(Horaires356731011[[#This Row],[PNP Début]]=0,0,MIN(Horaires356731011[[#This Row],[PNP Fin corrigée]],fin_nuit)-MAX(Horaires356731011[[#This Row],[PNP Début corrigé]],deb_nuit)))*24</f>
        <v>0</v>
      </c>
      <c r="P27" s="55">
        <f>(IF(WEEKDAY(Horaires356731011[[#This Row],[Date]],2)=7,MAX(0,MIN(fin_dimJF,Horaires356731011[[#This Row],[Fin corrigée si nuit]])-MAX(deb_dimJF,Horaires356731011[[#This Row],[début]])),0)+IF(WEEKDAY(Horaires356731011[[#This Row],[Date]],2)=6,MAX(0,Horaires356731011[[#This Row],[Fin corrigée si nuit]]-(1+deb_dimJF)),0))*24</f>
        <v>0</v>
      </c>
      <c r="Q27" s="55">
        <f>(IF(WEEKDAY(Horaires356731011[[#This Row],[Date]],2)=7,MAX(0,MIN(fin_dimJF,Horaires356731011[[#This Row],[Fin corrigée si nuit]])-MAX(deb_dimJF,Horaires356731011[[#This Row],[début]])),0)+IF(WEEKDAY(Horaires356731011[[#This Row],[Date]],2)=6,MAX(0,Horaires356731011[[#This Row],[Fin corrigée si nuit]]-(1+deb_dimJF)),0))*24-
(IF(WEEKDAY(Horaires356731011[[#This Row],[Date]],2)=7,MAX(0,MIN(fin_dimJF,Horaires356731011[[#This Row],[PNP Fin corrigée]])-MAX(deb_dimJF,Horaires356731011[[#This Row],[PNP Début corrigé]])),0)+IF(WEEKDAY(Horaires356731011[[#This Row],[Date]],2)=6,MAX(0,Horaires356731011[[#This Row],[PNP Fin corrigée]]-(1+deb_dimJF)),0))*24</f>
        <v>0</v>
      </c>
      <c r="R27" s="55">
        <f>(IF(COUNTIF(JF,Horaires356731011[[#This Row],[Date]]),MAX(0,MIN(fin_dimJF,Horaires356731011[[#This Row],[Fin corrigée si nuit]])-MAX(deb_dimJF,Horaires356731011[[#This Row],[début]])),0)+IF(COUNTIF(JF,Horaires356731011[[#This Row],[Date]]+1),MAX(0,Horaires356731011[[#This Row],[Fin corrigée si nuit]]-(1+deb_dimJF)),0))*24</f>
        <v>0</v>
      </c>
      <c r="S27" s="55">
        <f>(IF(COUNTIF(JF,Horaires356731011[[#This Row],[Date]]),MAX(0,MIN(fin_dimJF,Horaires356731011[[#This Row],[Fin corrigée si nuit]])-MAX(deb_dimJF,Horaires356731011[[#This Row],[début]])),0)+IF(COUNTIF(JF,Horaires356731011[[#This Row],[Date]]+1),MAX(0,Horaires356731011[[#This Row],[Fin corrigée si nuit]]-(1+deb_dimJF)),0))*24-
(IF(COUNTIF(JF,Horaires356731011[[#This Row],[Date]]),MAX(0,MIN(fin_dimJF,Horaires356731011[[#This Row],[PNP Fin corrigée]])-MAX(deb_dimJF,Horaires356731011[[#This Row],[PNP Début corrigé]])),0)+IF(COUNTIF(JF,Horaires356731011[[#This Row],[Date]]+1),MAX(0,Horaires356731011[[#This Row],[PNP Fin corrigée]]-(1+deb_dimJF)),0))*24</f>
        <v>0</v>
      </c>
    </row>
    <row r="28" spans="1:19" ht="14.4" customHeight="1" x14ac:dyDescent="0.35">
      <c r="A28" s="5"/>
      <c r="B28" s="1"/>
      <c r="C28" s="2"/>
      <c r="D28" s="2"/>
      <c r="E28" s="3"/>
      <c r="F28" s="3"/>
      <c r="G28" s="3"/>
      <c r="H28" s="3"/>
      <c r="I28" s="51">
        <f>0.1*(Horaires356731011[[#This Row],[Heures de nuit]]+Horaires356731011[[#This Row],[heures jour dimanche]]+Horaires356731011[[#This Row],[heures jour fériés]])</f>
        <v>0</v>
      </c>
      <c r="J28" s="52">
        <f>(MOD(Horaires356731011[[#This Row],[Fin]]-Horaires356731011[[#This Row],[début]],1)-MOD(Horaires356731011[[#This Row],[PNP Fin]]-Horaires356731011[[#This Row],[PNP Début]],1))*24</f>
        <v>0</v>
      </c>
      <c r="K28" s="53">
        <f>IF(Horaires356731011[[#This Row],[PNP Début]]=0,0,IF(Horaires356731011[[#This Row],[PNP Début]]&lt;Horaires356731011[[#This Row],[début]],1,0)+Horaires356731011[[#This Row],[PNP Début]])</f>
        <v>0</v>
      </c>
      <c r="L28" s="54">
        <f>IF(Horaires356731011[[#This Row],[PNP Fin]]=0,0,IF(Horaires356731011[[#This Row],[PNP Fin]]&lt;Horaires356731011[[#This Row],[début]],1,0)+Horaires356731011[[#This Row],[PNP Fin]])</f>
        <v>0</v>
      </c>
      <c r="M28" s="54">
        <f>IF(Horaires356731011[[#This Row],[Fin]]&lt;Horaires356731011[[#This Row],[début]],1,0)+Horaires356731011[[#This Row],[Fin]]</f>
        <v>0</v>
      </c>
      <c r="N28" s="35">
        <f>IF(Horaires356731011[[#This Row],[Fin]]&lt;Horaires356731011[[#This Row],[début]],MAX(0,MIN(Horaires356731011[[#This Row],[Fin corrigée si nuit]],fin_nuit)-MAX(Horaires356731011[[#This Row],[début]],deb_nuit))*24,(MAX(deb_nuit,Horaires356731011[[#This Row],[Fin]])-MAX(deb_nuit,Horaires356731011[[#This Row],[début]])+MAX(MIN(fin_nuit-1,Horaires356731011[[#This Row],[Fin]])-MIN(fin_nuit-1,Horaires356731011[[#This Row],[début]]),0))*24)</f>
        <v>0</v>
      </c>
      <c r="O28" s="55">
        <f>(MAX(0,MIN(Horaires356731011[[#This Row],[Fin corrigée si nuit]],fin_nuit)-MAX(Horaires356731011[[#This Row],[début]],deb_nuit))-IF(Horaires356731011[[#This Row],[PNP Début]]=0,0,MIN(Horaires356731011[[#This Row],[PNP Fin corrigée]],fin_nuit)-MAX(Horaires356731011[[#This Row],[PNP Début corrigé]],deb_nuit)))*24</f>
        <v>0</v>
      </c>
      <c r="P28" s="55">
        <f>(IF(WEEKDAY(Horaires356731011[[#This Row],[Date]],2)=7,MAX(0,MIN(fin_dimJF,Horaires356731011[[#This Row],[Fin corrigée si nuit]])-MAX(deb_dimJF,Horaires356731011[[#This Row],[début]])),0)+IF(WEEKDAY(Horaires356731011[[#This Row],[Date]],2)=6,MAX(0,Horaires356731011[[#This Row],[Fin corrigée si nuit]]-(1+deb_dimJF)),0))*24</f>
        <v>0</v>
      </c>
      <c r="Q28" s="55">
        <f>(IF(WEEKDAY(Horaires356731011[[#This Row],[Date]],2)=7,MAX(0,MIN(fin_dimJF,Horaires356731011[[#This Row],[Fin corrigée si nuit]])-MAX(deb_dimJF,Horaires356731011[[#This Row],[début]])),0)+IF(WEEKDAY(Horaires356731011[[#This Row],[Date]],2)=6,MAX(0,Horaires356731011[[#This Row],[Fin corrigée si nuit]]-(1+deb_dimJF)),0))*24-
(IF(WEEKDAY(Horaires356731011[[#This Row],[Date]],2)=7,MAX(0,MIN(fin_dimJF,Horaires356731011[[#This Row],[PNP Fin corrigée]])-MAX(deb_dimJF,Horaires356731011[[#This Row],[PNP Début corrigé]])),0)+IF(WEEKDAY(Horaires356731011[[#This Row],[Date]],2)=6,MAX(0,Horaires356731011[[#This Row],[PNP Fin corrigée]]-(1+deb_dimJF)),0))*24</f>
        <v>0</v>
      </c>
      <c r="R28" s="55">
        <f>(IF(COUNTIF(JF,Horaires356731011[[#This Row],[Date]]),MAX(0,MIN(fin_dimJF,Horaires356731011[[#This Row],[Fin corrigée si nuit]])-MAX(deb_dimJF,Horaires356731011[[#This Row],[début]])),0)+IF(COUNTIF(JF,Horaires356731011[[#This Row],[Date]]+1),MAX(0,Horaires356731011[[#This Row],[Fin corrigée si nuit]]-(1+deb_dimJF)),0))*24</f>
        <v>0</v>
      </c>
      <c r="S28" s="55">
        <f>(IF(COUNTIF(JF,Horaires356731011[[#This Row],[Date]]),MAX(0,MIN(fin_dimJF,Horaires356731011[[#This Row],[Fin corrigée si nuit]])-MAX(deb_dimJF,Horaires356731011[[#This Row],[début]])),0)+IF(COUNTIF(JF,Horaires356731011[[#This Row],[Date]]+1),MAX(0,Horaires356731011[[#This Row],[Fin corrigée si nuit]]-(1+deb_dimJF)),0))*24-
(IF(COUNTIF(JF,Horaires356731011[[#This Row],[Date]]),MAX(0,MIN(fin_dimJF,Horaires356731011[[#This Row],[PNP Fin corrigée]])-MAX(deb_dimJF,Horaires356731011[[#This Row],[PNP Début corrigé]])),0)+IF(COUNTIF(JF,Horaires356731011[[#This Row],[Date]]+1),MAX(0,Horaires356731011[[#This Row],[PNP Fin corrigée]]-(1+deb_dimJF)),0))*24</f>
        <v>0</v>
      </c>
    </row>
    <row r="29" spans="1:19" ht="14.4" customHeight="1" x14ac:dyDescent="0.35">
      <c r="A29" s="5"/>
      <c r="B29" s="1"/>
      <c r="C29" s="2"/>
      <c r="D29" s="2"/>
      <c r="E29" s="3"/>
      <c r="F29" s="3"/>
      <c r="G29" s="3"/>
      <c r="H29" s="3"/>
      <c r="I29" s="51">
        <f>0.1*(Horaires356731011[[#This Row],[Heures de nuit]]+Horaires356731011[[#This Row],[heures jour dimanche]]+Horaires356731011[[#This Row],[heures jour fériés]])</f>
        <v>0</v>
      </c>
      <c r="J29" s="52">
        <f>(MOD(Horaires356731011[[#This Row],[Fin]]-Horaires356731011[[#This Row],[début]],1)-MOD(Horaires356731011[[#This Row],[PNP Fin]]-Horaires356731011[[#This Row],[PNP Début]],1))*24</f>
        <v>0</v>
      </c>
      <c r="K29" s="53">
        <f>IF(Horaires356731011[[#This Row],[PNP Début]]=0,0,IF(Horaires356731011[[#This Row],[PNP Début]]&lt;Horaires356731011[[#This Row],[début]],1,0)+Horaires356731011[[#This Row],[PNP Début]])</f>
        <v>0</v>
      </c>
      <c r="L29" s="54">
        <f>IF(Horaires356731011[[#This Row],[PNP Fin]]=0,0,IF(Horaires356731011[[#This Row],[PNP Fin]]&lt;Horaires356731011[[#This Row],[début]],1,0)+Horaires356731011[[#This Row],[PNP Fin]])</f>
        <v>0</v>
      </c>
      <c r="M29" s="54">
        <f>IF(Horaires356731011[[#This Row],[Fin]]&lt;Horaires356731011[[#This Row],[début]],1,0)+Horaires356731011[[#This Row],[Fin]]</f>
        <v>0</v>
      </c>
      <c r="N29" s="35">
        <f>IF(Horaires356731011[[#This Row],[Fin]]&lt;Horaires356731011[[#This Row],[début]],MAX(0,MIN(Horaires356731011[[#This Row],[Fin corrigée si nuit]],fin_nuit)-MAX(Horaires356731011[[#This Row],[début]],deb_nuit))*24,(MAX(deb_nuit,Horaires356731011[[#This Row],[Fin]])-MAX(deb_nuit,Horaires356731011[[#This Row],[début]])+MAX(MIN(fin_nuit-1,Horaires356731011[[#This Row],[Fin]])-MIN(fin_nuit-1,Horaires356731011[[#This Row],[début]]),0))*24)</f>
        <v>0</v>
      </c>
      <c r="O29" s="55">
        <f>(MAX(0,MIN(Horaires356731011[[#This Row],[Fin corrigée si nuit]],fin_nuit)-MAX(Horaires356731011[[#This Row],[début]],deb_nuit))-IF(Horaires356731011[[#This Row],[PNP Début]]=0,0,MIN(Horaires356731011[[#This Row],[PNP Fin corrigée]],fin_nuit)-MAX(Horaires356731011[[#This Row],[PNP Début corrigé]],deb_nuit)))*24</f>
        <v>0</v>
      </c>
      <c r="P29" s="55">
        <f>(IF(WEEKDAY(Horaires356731011[[#This Row],[Date]],2)=7,MAX(0,MIN(fin_dimJF,Horaires356731011[[#This Row],[Fin corrigée si nuit]])-MAX(deb_dimJF,Horaires356731011[[#This Row],[début]])),0)+IF(WEEKDAY(Horaires356731011[[#This Row],[Date]],2)=6,MAX(0,Horaires356731011[[#This Row],[Fin corrigée si nuit]]-(1+deb_dimJF)),0))*24</f>
        <v>0</v>
      </c>
      <c r="Q29" s="55">
        <f>(IF(WEEKDAY(Horaires356731011[[#This Row],[Date]],2)=7,MAX(0,MIN(fin_dimJF,Horaires356731011[[#This Row],[Fin corrigée si nuit]])-MAX(deb_dimJF,Horaires356731011[[#This Row],[début]])),0)+IF(WEEKDAY(Horaires356731011[[#This Row],[Date]],2)=6,MAX(0,Horaires356731011[[#This Row],[Fin corrigée si nuit]]-(1+deb_dimJF)),0))*24-
(IF(WEEKDAY(Horaires356731011[[#This Row],[Date]],2)=7,MAX(0,MIN(fin_dimJF,Horaires356731011[[#This Row],[PNP Fin corrigée]])-MAX(deb_dimJF,Horaires356731011[[#This Row],[PNP Début corrigé]])),0)+IF(WEEKDAY(Horaires356731011[[#This Row],[Date]],2)=6,MAX(0,Horaires356731011[[#This Row],[PNP Fin corrigée]]-(1+deb_dimJF)),0))*24</f>
        <v>0</v>
      </c>
      <c r="R29" s="55">
        <f>(IF(COUNTIF(JF,Horaires356731011[[#This Row],[Date]]),MAX(0,MIN(fin_dimJF,Horaires356731011[[#This Row],[Fin corrigée si nuit]])-MAX(deb_dimJF,Horaires356731011[[#This Row],[début]])),0)+IF(COUNTIF(JF,Horaires356731011[[#This Row],[Date]]+1),MAX(0,Horaires356731011[[#This Row],[Fin corrigée si nuit]]-(1+deb_dimJF)),0))*24</f>
        <v>0</v>
      </c>
      <c r="S29" s="55">
        <f>(IF(COUNTIF(JF,Horaires356731011[[#This Row],[Date]]),MAX(0,MIN(fin_dimJF,Horaires356731011[[#This Row],[Fin corrigée si nuit]])-MAX(deb_dimJF,Horaires356731011[[#This Row],[début]])),0)+IF(COUNTIF(JF,Horaires356731011[[#This Row],[Date]]+1),MAX(0,Horaires356731011[[#This Row],[Fin corrigée si nuit]]-(1+deb_dimJF)),0))*24-
(IF(COUNTIF(JF,Horaires356731011[[#This Row],[Date]]),MAX(0,MIN(fin_dimJF,Horaires356731011[[#This Row],[PNP Fin corrigée]])-MAX(deb_dimJF,Horaires356731011[[#This Row],[PNP Début corrigé]])),0)+IF(COUNTIF(JF,Horaires356731011[[#This Row],[Date]]+1),MAX(0,Horaires356731011[[#This Row],[PNP Fin corrigée]]-(1+deb_dimJF)),0))*24</f>
        <v>0</v>
      </c>
    </row>
    <row r="30" spans="1:19" ht="14.4" customHeight="1" x14ac:dyDescent="0.35">
      <c r="A30" s="5"/>
      <c r="B30" s="1"/>
      <c r="C30" s="2"/>
      <c r="D30" s="2"/>
      <c r="E30" s="3"/>
      <c r="F30" s="3"/>
      <c r="G30" s="3"/>
      <c r="H30" s="3"/>
      <c r="I30" s="51">
        <f>0.1*(Horaires356731011[[#This Row],[Heures de nuit]]+Horaires356731011[[#This Row],[heures jour dimanche]]+Horaires356731011[[#This Row],[heures jour fériés]])</f>
        <v>0</v>
      </c>
      <c r="J30" s="52">
        <f>(MOD(Horaires356731011[[#This Row],[Fin]]-Horaires356731011[[#This Row],[début]],1)-MOD(Horaires356731011[[#This Row],[PNP Fin]]-Horaires356731011[[#This Row],[PNP Début]],1))*24</f>
        <v>0</v>
      </c>
      <c r="K30" s="53">
        <f>IF(Horaires356731011[[#This Row],[PNP Début]]=0,0,IF(Horaires356731011[[#This Row],[PNP Début]]&lt;Horaires356731011[[#This Row],[début]],1,0)+Horaires356731011[[#This Row],[PNP Début]])</f>
        <v>0</v>
      </c>
      <c r="L30" s="54">
        <f>IF(Horaires356731011[[#This Row],[PNP Fin]]=0,0,IF(Horaires356731011[[#This Row],[PNP Fin]]&lt;Horaires356731011[[#This Row],[début]],1,0)+Horaires356731011[[#This Row],[PNP Fin]])</f>
        <v>0</v>
      </c>
      <c r="M30" s="54">
        <f>IF(Horaires356731011[[#This Row],[Fin]]&lt;Horaires356731011[[#This Row],[début]],1,0)+Horaires356731011[[#This Row],[Fin]]</f>
        <v>0</v>
      </c>
      <c r="N30" s="35">
        <f>IF(Horaires356731011[[#This Row],[Fin]]&lt;Horaires356731011[[#This Row],[début]],MAX(0,MIN(Horaires356731011[[#This Row],[Fin corrigée si nuit]],fin_nuit)-MAX(Horaires356731011[[#This Row],[début]],deb_nuit))*24,(MAX(deb_nuit,Horaires356731011[[#This Row],[Fin]])-MAX(deb_nuit,Horaires356731011[[#This Row],[début]])+MAX(MIN(fin_nuit-1,Horaires356731011[[#This Row],[Fin]])-MIN(fin_nuit-1,Horaires356731011[[#This Row],[début]]),0))*24)</f>
        <v>0</v>
      </c>
      <c r="O30" s="55">
        <f>(MAX(0,MIN(Horaires356731011[[#This Row],[Fin corrigée si nuit]],fin_nuit)-MAX(Horaires356731011[[#This Row],[début]],deb_nuit))-IF(Horaires356731011[[#This Row],[PNP Début]]=0,0,MIN(Horaires356731011[[#This Row],[PNP Fin corrigée]],fin_nuit)-MAX(Horaires356731011[[#This Row],[PNP Début corrigé]],deb_nuit)))*24</f>
        <v>0</v>
      </c>
      <c r="P30" s="55">
        <f>(IF(WEEKDAY(Horaires356731011[[#This Row],[Date]],2)=7,MAX(0,MIN(fin_dimJF,Horaires356731011[[#This Row],[Fin corrigée si nuit]])-MAX(deb_dimJF,Horaires356731011[[#This Row],[début]])),0)+IF(WEEKDAY(Horaires356731011[[#This Row],[Date]],2)=6,MAX(0,Horaires356731011[[#This Row],[Fin corrigée si nuit]]-(1+deb_dimJF)),0))*24</f>
        <v>0</v>
      </c>
      <c r="Q30" s="55">
        <f>(IF(WEEKDAY(Horaires356731011[[#This Row],[Date]],2)=7,MAX(0,MIN(fin_dimJF,Horaires356731011[[#This Row],[Fin corrigée si nuit]])-MAX(deb_dimJF,Horaires356731011[[#This Row],[début]])),0)+IF(WEEKDAY(Horaires356731011[[#This Row],[Date]],2)=6,MAX(0,Horaires356731011[[#This Row],[Fin corrigée si nuit]]-(1+deb_dimJF)),0))*24-
(IF(WEEKDAY(Horaires356731011[[#This Row],[Date]],2)=7,MAX(0,MIN(fin_dimJF,Horaires356731011[[#This Row],[PNP Fin corrigée]])-MAX(deb_dimJF,Horaires356731011[[#This Row],[PNP Début corrigé]])),0)+IF(WEEKDAY(Horaires356731011[[#This Row],[Date]],2)=6,MAX(0,Horaires356731011[[#This Row],[PNP Fin corrigée]]-(1+deb_dimJF)),0))*24</f>
        <v>0</v>
      </c>
      <c r="R30" s="55">
        <f>(IF(COUNTIF(JF,Horaires356731011[[#This Row],[Date]]),MAX(0,MIN(fin_dimJF,Horaires356731011[[#This Row],[Fin corrigée si nuit]])-MAX(deb_dimJF,Horaires356731011[[#This Row],[début]])),0)+IF(COUNTIF(JF,Horaires356731011[[#This Row],[Date]]+1),MAX(0,Horaires356731011[[#This Row],[Fin corrigée si nuit]]-(1+deb_dimJF)),0))*24</f>
        <v>0</v>
      </c>
      <c r="S30" s="55">
        <f>(IF(COUNTIF(JF,Horaires356731011[[#This Row],[Date]]),MAX(0,MIN(fin_dimJF,Horaires356731011[[#This Row],[Fin corrigée si nuit]])-MAX(deb_dimJF,Horaires356731011[[#This Row],[début]])),0)+IF(COUNTIF(JF,Horaires356731011[[#This Row],[Date]]+1),MAX(0,Horaires356731011[[#This Row],[Fin corrigée si nuit]]-(1+deb_dimJF)),0))*24-
(IF(COUNTIF(JF,Horaires356731011[[#This Row],[Date]]),MAX(0,MIN(fin_dimJF,Horaires356731011[[#This Row],[PNP Fin corrigée]])-MAX(deb_dimJF,Horaires356731011[[#This Row],[PNP Début corrigé]])),0)+IF(COUNTIF(JF,Horaires356731011[[#This Row],[Date]]+1),MAX(0,Horaires356731011[[#This Row],[PNP Fin corrigée]]-(1+deb_dimJF)),0))*24</f>
        <v>0</v>
      </c>
    </row>
    <row r="31" spans="1:19" x14ac:dyDescent="0.35">
      <c r="A31" s="5"/>
      <c r="B31" s="1"/>
      <c r="C31" s="2"/>
      <c r="D31" s="2"/>
      <c r="E31" s="3"/>
      <c r="F31" s="3"/>
      <c r="G31" s="3"/>
      <c r="H31" s="3"/>
      <c r="I31" s="51">
        <f>0.1*(Horaires356731011[[#This Row],[Heures de nuit]]+Horaires356731011[[#This Row],[heures jour dimanche]]+Horaires356731011[[#This Row],[heures jour fériés]])</f>
        <v>0</v>
      </c>
      <c r="J31" s="52">
        <f>(MOD(Horaires356731011[[#This Row],[Fin]]-Horaires356731011[[#This Row],[début]],1)-MOD(Horaires356731011[[#This Row],[PNP Fin]]-Horaires356731011[[#This Row],[PNP Début]],1))*24</f>
        <v>0</v>
      </c>
      <c r="K31" s="53">
        <f>IF(Horaires356731011[[#This Row],[PNP Début]]=0,0,IF(Horaires356731011[[#This Row],[PNP Début]]&lt;Horaires356731011[[#This Row],[début]],1,0)+Horaires356731011[[#This Row],[PNP Début]])</f>
        <v>0</v>
      </c>
      <c r="L31" s="54">
        <f>IF(Horaires356731011[[#This Row],[PNP Fin]]=0,0,IF(Horaires356731011[[#This Row],[PNP Fin]]&lt;Horaires356731011[[#This Row],[début]],1,0)+Horaires356731011[[#This Row],[PNP Fin]])</f>
        <v>0</v>
      </c>
      <c r="M31" s="54">
        <f>IF(Horaires356731011[[#This Row],[Fin]]&lt;Horaires356731011[[#This Row],[début]],1,0)+Horaires356731011[[#This Row],[Fin]]</f>
        <v>0</v>
      </c>
      <c r="N31" s="35">
        <f>IF(Horaires356731011[[#This Row],[Fin]]&lt;Horaires356731011[[#This Row],[début]],MAX(0,MIN(Horaires356731011[[#This Row],[Fin corrigée si nuit]],fin_nuit)-MAX(Horaires356731011[[#This Row],[début]],deb_nuit))*24,(MAX(deb_nuit,Horaires356731011[[#This Row],[Fin]])-MAX(deb_nuit,Horaires356731011[[#This Row],[début]])+MAX(MIN(fin_nuit-1,Horaires356731011[[#This Row],[Fin]])-MIN(fin_nuit-1,Horaires356731011[[#This Row],[début]]),0))*24)</f>
        <v>0</v>
      </c>
      <c r="O31" s="55">
        <f>(MAX(0,MIN(Horaires356731011[[#This Row],[Fin corrigée si nuit]],fin_nuit)-MAX(Horaires356731011[[#This Row],[début]],deb_nuit))-IF(Horaires356731011[[#This Row],[PNP Début]]=0,0,MIN(Horaires356731011[[#This Row],[PNP Fin corrigée]],fin_nuit)-MAX(Horaires356731011[[#This Row],[PNP Début corrigé]],deb_nuit)))*24</f>
        <v>0</v>
      </c>
      <c r="P31" s="55">
        <f>(IF(WEEKDAY(Horaires356731011[[#This Row],[Date]],2)=7,MAX(0,MIN(fin_dimJF,Horaires356731011[[#This Row],[Fin corrigée si nuit]])-MAX(deb_dimJF,Horaires356731011[[#This Row],[début]])),0)+IF(WEEKDAY(Horaires356731011[[#This Row],[Date]],2)=6,MAX(0,Horaires356731011[[#This Row],[Fin corrigée si nuit]]-(1+deb_dimJF)),0))*24</f>
        <v>0</v>
      </c>
      <c r="Q31" s="55">
        <f>(IF(WEEKDAY(Horaires356731011[[#This Row],[Date]],2)=7,MAX(0,MIN(fin_dimJF,Horaires356731011[[#This Row],[Fin corrigée si nuit]])-MAX(deb_dimJF,Horaires356731011[[#This Row],[début]])),0)+IF(WEEKDAY(Horaires356731011[[#This Row],[Date]],2)=6,MAX(0,Horaires356731011[[#This Row],[Fin corrigée si nuit]]-(1+deb_dimJF)),0))*24-
(IF(WEEKDAY(Horaires356731011[[#This Row],[Date]],2)=7,MAX(0,MIN(fin_dimJF,Horaires356731011[[#This Row],[PNP Fin corrigée]])-MAX(deb_dimJF,Horaires356731011[[#This Row],[PNP Début corrigé]])),0)+IF(WEEKDAY(Horaires356731011[[#This Row],[Date]],2)=6,MAX(0,Horaires356731011[[#This Row],[PNP Fin corrigée]]-(1+deb_dimJF)),0))*24</f>
        <v>0</v>
      </c>
      <c r="R31" s="55">
        <f>(IF(COUNTIF(JF,Horaires356731011[[#This Row],[Date]]),MAX(0,MIN(fin_dimJF,Horaires356731011[[#This Row],[Fin corrigée si nuit]])-MAX(deb_dimJF,Horaires356731011[[#This Row],[début]])),0)+IF(COUNTIF(JF,Horaires356731011[[#This Row],[Date]]+1),MAX(0,Horaires356731011[[#This Row],[Fin corrigée si nuit]]-(1+deb_dimJF)),0))*24</f>
        <v>0</v>
      </c>
      <c r="S31" s="55">
        <f>(IF(COUNTIF(JF,Horaires356731011[[#This Row],[Date]]),MAX(0,MIN(fin_dimJF,Horaires356731011[[#This Row],[Fin corrigée si nuit]])-MAX(deb_dimJF,Horaires356731011[[#This Row],[début]])),0)+IF(COUNTIF(JF,Horaires356731011[[#This Row],[Date]]+1),MAX(0,Horaires356731011[[#This Row],[Fin corrigée si nuit]]-(1+deb_dimJF)),0))*24-
(IF(COUNTIF(JF,Horaires356731011[[#This Row],[Date]]),MAX(0,MIN(fin_dimJF,Horaires356731011[[#This Row],[PNP Fin corrigée]])-MAX(deb_dimJF,Horaires356731011[[#This Row],[PNP Début corrigé]])),0)+IF(COUNTIF(JF,Horaires356731011[[#This Row],[Date]]+1),MAX(0,Horaires356731011[[#This Row],[PNP Fin corrigée]]-(1+deb_dimJF)),0))*24</f>
        <v>0</v>
      </c>
    </row>
    <row r="32" spans="1:19" ht="14.5" customHeight="1" x14ac:dyDescent="0.35">
      <c r="A32" s="5"/>
      <c r="B32" s="1"/>
      <c r="C32" s="2"/>
      <c r="D32" s="2"/>
      <c r="E32" s="3"/>
      <c r="F32" s="3"/>
      <c r="G32" s="3"/>
      <c r="H32" s="3"/>
      <c r="I32" s="51">
        <f>0.1*(Horaires356731011[[#This Row],[Heures de nuit]]+Horaires356731011[[#This Row],[heures jour dimanche]]+Horaires356731011[[#This Row],[heures jour fériés]])</f>
        <v>0</v>
      </c>
      <c r="J32" s="52">
        <f>(MOD(Horaires356731011[[#This Row],[Fin]]-Horaires356731011[[#This Row],[début]],1)-MOD(Horaires356731011[[#This Row],[PNP Fin]]-Horaires356731011[[#This Row],[PNP Début]],1))*24</f>
        <v>0</v>
      </c>
      <c r="K32" s="53">
        <f>IF(Horaires356731011[[#This Row],[PNP Début]]=0,0,IF(Horaires356731011[[#This Row],[PNP Début]]&lt;Horaires356731011[[#This Row],[début]],1,0)+Horaires356731011[[#This Row],[PNP Début]])</f>
        <v>0</v>
      </c>
      <c r="L32" s="54">
        <f>IF(Horaires356731011[[#This Row],[PNP Fin]]=0,0,IF(Horaires356731011[[#This Row],[PNP Fin]]&lt;Horaires356731011[[#This Row],[début]],1,0)+Horaires356731011[[#This Row],[PNP Fin]])</f>
        <v>0</v>
      </c>
      <c r="M32" s="54">
        <f>IF(Horaires356731011[[#This Row],[Fin]]&lt;Horaires356731011[[#This Row],[début]],1,0)+Horaires356731011[[#This Row],[Fin]]</f>
        <v>0</v>
      </c>
      <c r="N32" s="35">
        <f>IF(Horaires356731011[[#This Row],[Fin]]&lt;Horaires356731011[[#This Row],[début]],MAX(0,MIN(Horaires356731011[[#This Row],[Fin corrigée si nuit]],fin_nuit)-MAX(Horaires356731011[[#This Row],[début]],deb_nuit))*24,(MAX(deb_nuit,Horaires356731011[[#This Row],[Fin]])-MAX(deb_nuit,Horaires356731011[[#This Row],[début]])+MAX(MIN(fin_nuit-1,Horaires356731011[[#This Row],[Fin]])-MIN(fin_nuit-1,Horaires356731011[[#This Row],[début]]),0))*24)</f>
        <v>0</v>
      </c>
      <c r="O32" s="55">
        <f>(MAX(0,MIN(Horaires356731011[[#This Row],[Fin corrigée si nuit]],fin_nuit)-MAX(Horaires356731011[[#This Row],[début]],deb_nuit))-IF(Horaires356731011[[#This Row],[PNP Début]]=0,0,MIN(Horaires356731011[[#This Row],[PNP Fin corrigée]],fin_nuit)-MAX(Horaires356731011[[#This Row],[PNP Début corrigé]],deb_nuit)))*24</f>
        <v>0</v>
      </c>
      <c r="P32" s="55">
        <f>(IF(WEEKDAY(Horaires356731011[[#This Row],[Date]],2)=7,MAX(0,MIN(fin_dimJF,Horaires356731011[[#This Row],[Fin corrigée si nuit]])-MAX(deb_dimJF,Horaires356731011[[#This Row],[début]])),0)+IF(WEEKDAY(Horaires356731011[[#This Row],[Date]],2)=6,MAX(0,Horaires356731011[[#This Row],[Fin corrigée si nuit]]-(1+deb_dimJF)),0))*24</f>
        <v>0</v>
      </c>
      <c r="Q32" s="55">
        <f>(IF(WEEKDAY(Horaires356731011[[#This Row],[Date]],2)=7,MAX(0,MIN(fin_dimJF,Horaires356731011[[#This Row],[Fin corrigée si nuit]])-MAX(deb_dimJF,Horaires356731011[[#This Row],[début]])),0)+IF(WEEKDAY(Horaires356731011[[#This Row],[Date]],2)=6,MAX(0,Horaires356731011[[#This Row],[Fin corrigée si nuit]]-(1+deb_dimJF)),0))*24-
(IF(WEEKDAY(Horaires356731011[[#This Row],[Date]],2)=7,MAX(0,MIN(fin_dimJF,Horaires356731011[[#This Row],[PNP Fin corrigée]])-MAX(deb_dimJF,Horaires356731011[[#This Row],[PNP Début corrigé]])),0)+IF(WEEKDAY(Horaires356731011[[#This Row],[Date]],2)=6,MAX(0,Horaires356731011[[#This Row],[PNP Fin corrigée]]-(1+deb_dimJF)),0))*24</f>
        <v>0</v>
      </c>
      <c r="R32" s="55">
        <f>(IF(COUNTIF(JF,Horaires356731011[[#This Row],[Date]]),MAX(0,MIN(fin_dimJF,Horaires356731011[[#This Row],[Fin corrigée si nuit]])-MAX(deb_dimJF,Horaires356731011[[#This Row],[début]])),0)+IF(COUNTIF(JF,Horaires356731011[[#This Row],[Date]]+1),MAX(0,Horaires356731011[[#This Row],[Fin corrigée si nuit]]-(1+deb_dimJF)),0))*24</f>
        <v>0</v>
      </c>
      <c r="S32" s="55">
        <f>(IF(COUNTIF(JF,Horaires356731011[[#This Row],[Date]]),MAX(0,MIN(fin_dimJF,Horaires356731011[[#This Row],[Fin corrigée si nuit]])-MAX(deb_dimJF,Horaires356731011[[#This Row],[début]])),0)+IF(COUNTIF(JF,Horaires356731011[[#This Row],[Date]]+1),MAX(0,Horaires356731011[[#This Row],[Fin corrigée si nuit]]-(1+deb_dimJF)),0))*24-
(IF(COUNTIF(JF,Horaires356731011[[#This Row],[Date]]),MAX(0,MIN(fin_dimJF,Horaires356731011[[#This Row],[PNP Fin corrigée]])-MAX(deb_dimJF,Horaires356731011[[#This Row],[PNP Début corrigé]])),0)+IF(COUNTIF(JF,Horaires356731011[[#This Row],[Date]]+1),MAX(0,Horaires356731011[[#This Row],[PNP Fin corrigée]]-(1+deb_dimJF)),0))*24</f>
        <v>0</v>
      </c>
    </row>
    <row r="33" spans="1:19" x14ac:dyDescent="0.35">
      <c r="A33" s="5"/>
      <c r="B33" s="1"/>
      <c r="C33" s="2"/>
      <c r="D33" s="2"/>
      <c r="E33" s="3"/>
      <c r="F33" s="3"/>
      <c r="G33" s="3"/>
      <c r="H33" s="3"/>
      <c r="I33" s="51">
        <f>0.1*(Horaires356731011[[#This Row],[Heures de nuit]]+Horaires356731011[[#This Row],[heures jour dimanche]]+Horaires356731011[[#This Row],[heures jour fériés]])</f>
        <v>0</v>
      </c>
      <c r="J33" s="52">
        <f>(MOD(Horaires356731011[[#This Row],[Fin]]-Horaires356731011[[#This Row],[début]],1)-MOD(Horaires356731011[[#This Row],[PNP Fin]]-Horaires356731011[[#This Row],[PNP Début]],1))*24</f>
        <v>0</v>
      </c>
      <c r="K33" s="53">
        <f>IF(Horaires356731011[[#This Row],[PNP Début]]=0,0,IF(Horaires356731011[[#This Row],[PNP Début]]&lt;Horaires356731011[[#This Row],[début]],1,0)+Horaires356731011[[#This Row],[PNP Début]])</f>
        <v>0</v>
      </c>
      <c r="L33" s="54">
        <f>IF(Horaires356731011[[#This Row],[PNP Fin]]=0,0,IF(Horaires356731011[[#This Row],[PNP Fin]]&lt;Horaires356731011[[#This Row],[début]],1,0)+Horaires356731011[[#This Row],[PNP Fin]])</f>
        <v>0</v>
      </c>
      <c r="M33" s="54">
        <f>IF(Horaires356731011[[#This Row],[Fin]]&lt;Horaires356731011[[#This Row],[début]],1,0)+Horaires356731011[[#This Row],[Fin]]</f>
        <v>0</v>
      </c>
      <c r="N33" s="35">
        <f>IF(Horaires356731011[[#This Row],[Fin]]&lt;Horaires356731011[[#This Row],[début]],MAX(0,MIN(Horaires356731011[[#This Row],[Fin corrigée si nuit]],fin_nuit)-MAX(Horaires356731011[[#This Row],[début]],deb_nuit))*24,(MAX(deb_nuit,Horaires356731011[[#This Row],[Fin]])-MAX(deb_nuit,Horaires356731011[[#This Row],[début]])+MAX(MIN(fin_nuit-1,Horaires356731011[[#This Row],[Fin]])-MIN(fin_nuit-1,Horaires356731011[[#This Row],[début]]),0))*24)</f>
        <v>0</v>
      </c>
      <c r="O33" s="55">
        <f>(MAX(0,MIN(Horaires356731011[[#This Row],[Fin corrigée si nuit]],fin_nuit)-MAX(Horaires356731011[[#This Row],[début]],deb_nuit))-IF(Horaires356731011[[#This Row],[PNP Début]]=0,0,MIN(Horaires356731011[[#This Row],[PNP Fin corrigée]],fin_nuit)-MAX(Horaires356731011[[#This Row],[PNP Début corrigé]],deb_nuit)))*24</f>
        <v>0</v>
      </c>
      <c r="P33" s="55">
        <f>(IF(WEEKDAY(Horaires356731011[[#This Row],[Date]],2)=7,MAX(0,MIN(fin_dimJF,Horaires356731011[[#This Row],[Fin corrigée si nuit]])-MAX(deb_dimJF,Horaires356731011[[#This Row],[début]])),0)+IF(WEEKDAY(Horaires356731011[[#This Row],[Date]],2)=6,MAX(0,Horaires356731011[[#This Row],[Fin corrigée si nuit]]-(1+deb_dimJF)),0))*24</f>
        <v>0</v>
      </c>
      <c r="Q33" s="55">
        <f>(IF(WEEKDAY(Horaires356731011[[#This Row],[Date]],2)=7,MAX(0,MIN(fin_dimJF,Horaires356731011[[#This Row],[Fin corrigée si nuit]])-MAX(deb_dimJF,Horaires356731011[[#This Row],[début]])),0)+IF(WEEKDAY(Horaires356731011[[#This Row],[Date]],2)=6,MAX(0,Horaires356731011[[#This Row],[Fin corrigée si nuit]]-(1+deb_dimJF)),0))*24-
(IF(WEEKDAY(Horaires356731011[[#This Row],[Date]],2)=7,MAX(0,MIN(fin_dimJF,Horaires356731011[[#This Row],[PNP Fin corrigée]])-MAX(deb_dimJF,Horaires356731011[[#This Row],[PNP Début corrigé]])),0)+IF(WEEKDAY(Horaires356731011[[#This Row],[Date]],2)=6,MAX(0,Horaires356731011[[#This Row],[PNP Fin corrigée]]-(1+deb_dimJF)),0))*24</f>
        <v>0</v>
      </c>
      <c r="R33" s="55">
        <f>(IF(COUNTIF(JF,Horaires356731011[[#This Row],[Date]]),MAX(0,MIN(fin_dimJF,Horaires356731011[[#This Row],[Fin corrigée si nuit]])-MAX(deb_dimJF,Horaires356731011[[#This Row],[début]])),0)+IF(COUNTIF(JF,Horaires356731011[[#This Row],[Date]]+1),MAX(0,Horaires356731011[[#This Row],[Fin corrigée si nuit]]-(1+deb_dimJF)),0))*24</f>
        <v>0</v>
      </c>
      <c r="S33" s="55">
        <f>(IF(COUNTIF(JF,Horaires356731011[[#This Row],[Date]]),MAX(0,MIN(fin_dimJF,Horaires356731011[[#This Row],[Fin corrigée si nuit]])-MAX(deb_dimJF,Horaires356731011[[#This Row],[début]])),0)+IF(COUNTIF(JF,Horaires356731011[[#This Row],[Date]]+1),MAX(0,Horaires356731011[[#This Row],[Fin corrigée si nuit]]-(1+deb_dimJF)),0))*24-
(IF(COUNTIF(JF,Horaires356731011[[#This Row],[Date]]),MAX(0,MIN(fin_dimJF,Horaires356731011[[#This Row],[PNP Fin corrigée]])-MAX(deb_dimJF,Horaires356731011[[#This Row],[PNP Début corrigé]])),0)+IF(COUNTIF(JF,Horaires356731011[[#This Row],[Date]]+1),MAX(0,Horaires356731011[[#This Row],[PNP Fin corrigée]]-(1+deb_dimJF)),0))*24</f>
        <v>0</v>
      </c>
    </row>
    <row r="34" spans="1:19" x14ac:dyDescent="0.35">
      <c r="A34" s="5"/>
      <c r="B34" s="1"/>
      <c r="C34" s="2"/>
      <c r="D34" s="2"/>
      <c r="E34" s="3"/>
      <c r="F34" s="3"/>
      <c r="G34" s="3"/>
      <c r="H34" s="3"/>
      <c r="I34" s="51">
        <f>0.1*(Horaires356731011[[#This Row],[Heures de nuit]]+Horaires356731011[[#This Row],[heures jour dimanche]]+Horaires356731011[[#This Row],[heures jour fériés]])</f>
        <v>0</v>
      </c>
      <c r="J34" s="52">
        <f>(MOD(Horaires356731011[[#This Row],[Fin]]-Horaires356731011[[#This Row],[début]],1)-MOD(Horaires356731011[[#This Row],[PNP Fin]]-Horaires356731011[[#This Row],[PNP Début]],1))*24</f>
        <v>0</v>
      </c>
      <c r="K34" s="53">
        <f>IF(Horaires356731011[[#This Row],[PNP Début]]=0,0,IF(Horaires356731011[[#This Row],[PNP Début]]&lt;Horaires356731011[[#This Row],[début]],1,0)+Horaires356731011[[#This Row],[PNP Début]])</f>
        <v>0</v>
      </c>
      <c r="L34" s="54">
        <f>IF(Horaires356731011[[#This Row],[PNP Fin]]=0,0,IF(Horaires356731011[[#This Row],[PNP Fin]]&lt;Horaires356731011[[#This Row],[début]],1,0)+Horaires356731011[[#This Row],[PNP Fin]])</f>
        <v>0</v>
      </c>
      <c r="M34" s="54">
        <f>IF(Horaires356731011[[#This Row],[Fin]]&lt;Horaires356731011[[#This Row],[début]],1,0)+Horaires356731011[[#This Row],[Fin]]</f>
        <v>0</v>
      </c>
      <c r="N34" s="35">
        <f>IF(Horaires356731011[[#This Row],[Fin]]&lt;Horaires356731011[[#This Row],[début]],MAX(0,MIN(Horaires356731011[[#This Row],[Fin corrigée si nuit]],fin_nuit)-MAX(Horaires356731011[[#This Row],[début]],deb_nuit))*24,(MAX(deb_nuit,Horaires356731011[[#This Row],[Fin]])-MAX(deb_nuit,Horaires356731011[[#This Row],[début]])+MAX(MIN(fin_nuit-1,Horaires356731011[[#This Row],[Fin]])-MIN(fin_nuit-1,Horaires356731011[[#This Row],[début]]),0))*24)</f>
        <v>0</v>
      </c>
      <c r="O34" s="55">
        <f>(MAX(0,MIN(Horaires356731011[[#This Row],[Fin corrigée si nuit]],fin_nuit)-MAX(Horaires356731011[[#This Row],[début]],deb_nuit))-IF(Horaires356731011[[#This Row],[PNP Début]]=0,0,MIN(Horaires356731011[[#This Row],[PNP Fin corrigée]],fin_nuit)-MAX(Horaires356731011[[#This Row],[PNP Début corrigé]],deb_nuit)))*24</f>
        <v>0</v>
      </c>
      <c r="P34" s="55">
        <f>(IF(WEEKDAY(Horaires356731011[[#This Row],[Date]],2)=7,MAX(0,MIN(fin_dimJF,Horaires356731011[[#This Row],[Fin corrigée si nuit]])-MAX(deb_dimJF,Horaires356731011[[#This Row],[début]])),0)+IF(WEEKDAY(Horaires356731011[[#This Row],[Date]],2)=6,MAX(0,Horaires356731011[[#This Row],[Fin corrigée si nuit]]-(1+deb_dimJF)),0))*24</f>
        <v>0</v>
      </c>
      <c r="Q34" s="55">
        <f>(IF(WEEKDAY(Horaires356731011[[#This Row],[Date]],2)=7,MAX(0,MIN(fin_dimJF,Horaires356731011[[#This Row],[Fin corrigée si nuit]])-MAX(deb_dimJF,Horaires356731011[[#This Row],[début]])),0)+IF(WEEKDAY(Horaires356731011[[#This Row],[Date]],2)=6,MAX(0,Horaires356731011[[#This Row],[Fin corrigée si nuit]]-(1+deb_dimJF)),0))*24-
(IF(WEEKDAY(Horaires356731011[[#This Row],[Date]],2)=7,MAX(0,MIN(fin_dimJF,Horaires356731011[[#This Row],[PNP Fin corrigée]])-MAX(deb_dimJF,Horaires356731011[[#This Row],[PNP Début corrigé]])),0)+IF(WEEKDAY(Horaires356731011[[#This Row],[Date]],2)=6,MAX(0,Horaires356731011[[#This Row],[PNP Fin corrigée]]-(1+deb_dimJF)),0))*24</f>
        <v>0</v>
      </c>
      <c r="R34" s="55">
        <f>(IF(COUNTIF(JF,Horaires356731011[[#This Row],[Date]]),MAX(0,MIN(fin_dimJF,Horaires356731011[[#This Row],[Fin corrigée si nuit]])-MAX(deb_dimJF,Horaires356731011[[#This Row],[début]])),0)+IF(COUNTIF(JF,Horaires356731011[[#This Row],[Date]]+1),MAX(0,Horaires356731011[[#This Row],[Fin corrigée si nuit]]-(1+deb_dimJF)),0))*24</f>
        <v>0</v>
      </c>
      <c r="S34" s="55">
        <f>(IF(COUNTIF(JF,Horaires356731011[[#This Row],[Date]]),MAX(0,MIN(fin_dimJF,Horaires356731011[[#This Row],[Fin corrigée si nuit]])-MAX(deb_dimJF,Horaires356731011[[#This Row],[début]])),0)+IF(COUNTIF(JF,Horaires356731011[[#This Row],[Date]]+1),MAX(0,Horaires356731011[[#This Row],[Fin corrigée si nuit]]-(1+deb_dimJF)),0))*24-
(IF(COUNTIF(JF,Horaires356731011[[#This Row],[Date]]),MAX(0,MIN(fin_dimJF,Horaires356731011[[#This Row],[PNP Fin corrigée]])-MAX(deb_dimJF,Horaires356731011[[#This Row],[PNP Début corrigé]])),0)+IF(COUNTIF(JF,Horaires356731011[[#This Row],[Date]]+1),MAX(0,Horaires356731011[[#This Row],[PNP Fin corrigée]]-(1+deb_dimJF)),0))*24</f>
        <v>0</v>
      </c>
    </row>
    <row r="35" spans="1:19" x14ac:dyDescent="0.35">
      <c r="A35" s="5"/>
      <c r="B35" s="1"/>
      <c r="C35" s="2"/>
      <c r="D35" s="2"/>
      <c r="E35" s="3"/>
      <c r="F35" s="3"/>
      <c r="G35" s="3"/>
      <c r="H35" s="3"/>
      <c r="I35" s="51">
        <f>0.1*(Horaires356731011[[#This Row],[Heures de nuit]]+Horaires356731011[[#This Row],[heures jour dimanche]]+Horaires356731011[[#This Row],[heures jour fériés]])</f>
        <v>0</v>
      </c>
      <c r="J35" s="52">
        <f>(MOD(Horaires356731011[[#This Row],[Fin]]-Horaires356731011[[#This Row],[début]],1)-MOD(Horaires356731011[[#This Row],[PNP Fin]]-Horaires356731011[[#This Row],[PNP Début]],1))*24</f>
        <v>0</v>
      </c>
      <c r="K35" s="53">
        <f>IF(Horaires356731011[[#This Row],[PNP Début]]=0,0,IF(Horaires356731011[[#This Row],[PNP Début]]&lt;Horaires356731011[[#This Row],[début]],1,0)+Horaires356731011[[#This Row],[PNP Début]])</f>
        <v>0</v>
      </c>
      <c r="L35" s="54">
        <f>IF(Horaires356731011[[#This Row],[PNP Fin]]=0,0,IF(Horaires356731011[[#This Row],[PNP Fin]]&lt;Horaires356731011[[#This Row],[début]],1,0)+Horaires356731011[[#This Row],[PNP Fin]])</f>
        <v>0</v>
      </c>
      <c r="M35" s="54">
        <f>IF(Horaires356731011[[#This Row],[Fin]]&lt;Horaires356731011[[#This Row],[début]],1,0)+Horaires356731011[[#This Row],[Fin]]</f>
        <v>0</v>
      </c>
      <c r="N35" s="35">
        <f>IF(Horaires356731011[[#This Row],[Fin]]&lt;Horaires356731011[[#This Row],[début]],MAX(0,MIN(Horaires356731011[[#This Row],[Fin corrigée si nuit]],fin_nuit)-MAX(Horaires356731011[[#This Row],[début]],deb_nuit))*24,(MAX(deb_nuit,Horaires356731011[[#This Row],[Fin]])-MAX(deb_nuit,Horaires356731011[[#This Row],[début]])+MAX(MIN(fin_nuit-1,Horaires356731011[[#This Row],[Fin]])-MIN(fin_nuit-1,Horaires356731011[[#This Row],[début]]),0))*24)</f>
        <v>0</v>
      </c>
      <c r="O35" s="55">
        <f>(MAX(0,MIN(Horaires356731011[[#This Row],[Fin corrigée si nuit]],fin_nuit)-MAX(Horaires356731011[[#This Row],[début]],deb_nuit))-IF(Horaires356731011[[#This Row],[PNP Début]]=0,0,MIN(Horaires356731011[[#This Row],[PNP Fin corrigée]],fin_nuit)-MAX(Horaires356731011[[#This Row],[PNP Début corrigé]],deb_nuit)))*24</f>
        <v>0</v>
      </c>
      <c r="P35" s="55">
        <f>(IF(WEEKDAY(Horaires356731011[[#This Row],[Date]],2)=7,MAX(0,MIN(fin_dimJF,Horaires356731011[[#This Row],[Fin corrigée si nuit]])-MAX(deb_dimJF,Horaires356731011[[#This Row],[début]])),0)+IF(WEEKDAY(Horaires356731011[[#This Row],[Date]],2)=6,MAX(0,Horaires356731011[[#This Row],[Fin corrigée si nuit]]-(1+deb_dimJF)),0))*24</f>
        <v>0</v>
      </c>
      <c r="Q35" s="55">
        <f>(IF(WEEKDAY(Horaires356731011[[#This Row],[Date]],2)=7,MAX(0,MIN(fin_dimJF,Horaires356731011[[#This Row],[Fin corrigée si nuit]])-MAX(deb_dimJF,Horaires356731011[[#This Row],[début]])),0)+IF(WEEKDAY(Horaires356731011[[#This Row],[Date]],2)=6,MAX(0,Horaires356731011[[#This Row],[Fin corrigée si nuit]]-(1+deb_dimJF)),0))*24-
(IF(WEEKDAY(Horaires356731011[[#This Row],[Date]],2)=7,MAX(0,MIN(fin_dimJF,Horaires356731011[[#This Row],[PNP Fin corrigée]])-MAX(deb_dimJF,Horaires356731011[[#This Row],[PNP Début corrigé]])),0)+IF(WEEKDAY(Horaires356731011[[#This Row],[Date]],2)=6,MAX(0,Horaires356731011[[#This Row],[PNP Fin corrigée]]-(1+deb_dimJF)),0))*24</f>
        <v>0</v>
      </c>
      <c r="R35" s="55">
        <f>(IF(COUNTIF(JF,Horaires356731011[[#This Row],[Date]]),MAX(0,MIN(fin_dimJF,Horaires356731011[[#This Row],[Fin corrigée si nuit]])-MAX(deb_dimJF,Horaires356731011[[#This Row],[début]])),0)+IF(COUNTIF(JF,Horaires356731011[[#This Row],[Date]]+1),MAX(0,Horaires356731011[[#This Row],[Fin corrigée si nuit]]-(1+deb_dimJF)),0))*24</f>
        <v>0</v>
      </c>
      <c r="S35" s="55">
        <f>(IF(COUNTIF(JF,Horaires356731011[[#This Row],[Date]]),MAX(0,MIN(fin_dimJF,Horaires356731011[[#This Row],[Fin corrigée si nuit]])-MAX(deb_dimJF,Horaires356731011[[#This Row],[début]])),0)+IF(COUNTIF(JF,Horaires356731011[[#This Row],[Date]]+1),MAX(0,Horaires356731011[[#This Row],[Fin corrigée si nuit]]-(1+deb_dimJF)),0))*24-
(IF(COUNTIF(JF,Horaires356731011[[#This Row],[Date]]),MAX(0,MIN(fin_dimJF,Horaires356731011[[#This Row],[PNP Fin corrigée]])-MAX(deb_dimJF,Horaires356731011[[#This Row],[PNP Début corrigé]])),0)+IF(COUNTIF(JF,Horaires356731011[[#This Row],[Date]]+1),MAX(0,Horaires356731011[[#This Row],[PNP Fin corrigée]]-(1+deb_dimJF)),0))*24</f>
        <v>0</v>
      </c>
    </row>
    <row r="36" spans="1:19" x14ac:dyDescent="0.35">
      <c r="A36" s="5"/>
      <c r="B36" s="1"/>
      <c r="C36" s="2"/>
      <c r="D36" s="2"/>
      <c r="E36" s="3"/>
      <c r="F36" s="3"/>
      <c r="G36" s="3"/>
      <c r="H36" s="3"/>
      <c r="I36" s="51">
        <f>0.1*(Horaires356731011[[#This Row],[Heures de nuit]]+Horaires356731011[[#This Row],[heures jour dimanche]]+Horaires356731011[[#This Row],[heures jour fériés]])</f>
        <v>0</v>
      </c>
      <c r="J36" s="52">
        <f>(MOD(Horaires356731011[[#This Row],[Fin]]-Horaires356731011[[#This Row],[début]],1)-MOD(Horaires356731011[[#This Row],[PNP Fin]]-Horaires356731011[[#This Row],[PNP Début]],1))*24</f>
        <v>0</v>
      </c>
      <c r="K36" s="53">
        <f>IF(Horaires356731011[[#This Row],[PNP Début]]=0,0,IF(Horaires356731011[[#This Row],[PNP Début]]&lt;Horaires356731011[[#This Row],[début]],1,0)+Horaires356731011[[#This Row],[PNP Début]])</f>
        <v>0</v>
      </c>
      <c r="L36" s="54">
        <f>IF(Horaires356731011[[#This Row],[PNP Fin]]=0,0,IF(Horaires356731011[[#This Row],[PNP Fin]]&lt;Horaires356731011[[#This Row],[début]],1,0)+Horaires356731011[[#This Row],[PNP Fin]])</f>
        <v>0</v>
      </c>
      <c r="M36" s="54">
        <f>IF(Horaires356731011[[#This Row],[Fin]]&lt;Horaires356731011[[#This Row],[début]],1,0)+Horaires356731011[[#This Row],[Fin]]</f>
        <v>0</v>
      </c>
      <c r="N36" s="35">
        <f>IF(Horaires356731011[[#This Row],[Fin]]&lt;Horaires356731011[[#This Row],[début]],MAX(0,MIN(Horaires356731011[[#This Row],[Fin corrigée si nuit]],fin_nuit)-MAX(Horaires356731011[[#This Row],[début]],deb_nuit))*24,(MAX(deb_nuit,Horaires356731011[[#This Row],[Fin]])-MAX(deb_nuit,Horaires356731011[[#This Row],[début]])+MAX(MIN(fin_nuit-1,Horaires356731011[[#This Row],[Fin]])-MIN(fin_nuit-1,Horaires356731011[[#This Row],[début]]),0))*24)</f>
        <v>0</v>
      </c>
      <c r="O36" s="55">
        <f>(MAX(0,MIN(Horaires356731011[[#This Row],[Fin corrigée si nuit]],fin_nuit)-MAX(Horaires356731011[[#This Row],[début]],deb_nuit))-IF(Horaires356731011[[#This Row],[PNP Début]]=0,0,MIN(Horaires356731011[[#This Row],[PNP Fin corrigée]],fin_nuit)-MAX(Horaires356731011[[#This Row],[PNP Début corrigé]],deb_nuit)))*24</f>
        <v>0</v>
      </c>
      <c r="P36" s="55">
        <f>(IF(WEEKDAY(Horaires356731011[[#This Row],[Date]],2)=7,MAX(0,MIN(fin_dimJF,Horaires356731011[[#This Row],[Fin corrigée si nuit]])-MAX(deb_dimJF,Horaires356731011[[#This Row],[début]])),0)+IF(WEEKDAY(Horaires356731011[[#This Row],[Date]],2)=6,MAX(0,Horaires356731011[[#This Row],[Fin corrigée si nuit]]-(1+deb_dimJF)),0))*24</f>
        <v>0</v>
      </c>
      <c r="Q36" s="55">
        <f>(IF(WEEKDAY(Horaires356731011[[#This Row],[Date]],2)=7,MAX(0,MIN(fin_dimJF,Horaires356731011[[#This Row],[Fin corrigée si nuit]])-MAX(deb_dimJF,Horaires356731011[[#This Row],[début]])),0)+IF(WEEKDAY(Horaires356731011[[#This Row],[Date]],2)=6,MAX(0,Horaires356731011[[#This Row],[Fin corrigée si nuit]]-(1+deb_dimJF)),0))*24-
(IF(WEEKDAY(Horaires356731011[[#This Row],[Date]],2)=7,MAX(0,MIN(fin_dimJF,Horaires356731011[[#This Row],[PNP Fin corrigée]])-MAX(deb_dimJF,Horaires356731011[[#This Row],[PNP Début corrigé]])),0)+IF(WEEKDAY(Horaires356731011[[#This Row],[Date]],2)=6,MAX(0,Horaires356731011[[#This Row],[PNP Fin corrigée]]-(1+deb_dimJF)),0))*24</f>
        <v>0</v>
      </c>
      <c r="R36" s="55">
        <f>(IF(COUNTIF(JF,Horaires356731011[[#This Row],[Date]]),MAX(0,MIN(fin_dimJF,Horaires356731011[[#This Row],[Fin corrigée si nuit]])-MAX(deb_dimJF,Horaires356731011[[#This Row],[début]])),0)+IF(COUNTIF(JF,Horaires356731011[[#This Row],[Date]]+1),MAX(0,Horaires356731011[[#This Row],[Fin corrigée si nuit]]-(1+deb_dimJF)),0))*24</f>
        <v>0</v>
      </c>
      <c r="S36" s="55">
        <f>(IF(COUNTIF(JF,Horaires356731011[[#This Row],[Date]]),MAX(0,MIN(fin_dimJF,Horaires356731011[[#This Row],[Fin corrigée si nuit]])-MAX(deb_dimJF,Horaires356731011[[#This Row],[début]])),0)+IF(COUNTIF(JF,Horaires356731011[[#This Row],[Date]]+1),MAX(0,Horaires356731011[[#This Row],[Fin corrigée si nuit]]-(1+deb_dimJF)),0))*24-
(IF(COUNTIF(JF,Horaires356731011[[#This Row],[Date]]),MAX(0,MIN(fin_dimJF,Horaires356731011[[#This Row],[PNP Fin corrigée]])-MAX(deb_dimJF,Horaires356731011[[#This Row],[PNP Début corrigé]])),0)+IF(COUNTIF(JF,Horaires356731011[[#This Row],[Date]]+1),MAX(0,Horaires356731011[[#This Row],[PNP Fin corrigée]]-(1+deb_dimJF)),0))*24</f>
        <v>0</v>
      </c>
    </row>
    <row r="37" spans="1:19" x14ac:dyDescent="0.35">
      <c r="A37" s="5"/>
      <c r="B37" s="1"/>
      <c r="C37" s="2"/>
      <c r="D37" s="2"/>
      <c r="E37" s="3"/>
      <c r="F37" s="3"/>
      <c r="G37" s="3"/>
      <c r="H37" s="3"/>
      <c r="I37" s="51">
        <f>0.1*(Horaires356731011[[#This Row],[Heures de nuit]]+Horaires356731011[[#This Row],[heures jour dimanche]]+Horaires356731011[[#This Row],[heures jour fériés]])</f>
        <v>0</v>
      </c>
      <c r="J37" s="52">
        <f>(MOD(Horaires356731011[[#This Row],[Fin]]-Horaires356731011[[#This Row],[début]],1)-MOD(Horaires356731011[[#This Row],[PNP Fin]]-Horaires356731011[[#This Row],[PNP Début]],1))*24</f>
        <v>0</v>
      </c>
      <c r="K37" s="53">
        <f>IF(Horaires356731011[[#This Row],[PNP Début]]=0,0,IF(Horaires356731011[[#This Row],[PNP Début]]&lt;Horaires356731011[[#This Row],[début]],1,0)+Horaires356731011[[#This Row],[PNP Début]])</f>
        <v>0</v>
      </c>
      <c r="L37" s="54">
        <f>IF(Horaires356731011[[#This Row],[PNP Fin]]=0,0,IF(Horaires356731011[[#This Row],[PNP Fin]]&lt;Horaires356731011[[#This Row],[début]],1,0)+Horaires356731011[[#This Row],[PNP Fin]])</f>
        <v>0</v>
      </c>
      <c r="M37" s="54">
        <f>IF(Horaires356731011[[#This Row],[Fin]]&lt;Horaires356731011[[#This Row],[début]],1,0)+Horaires356731011[[#This Row],[Fin]]</f>
        <v>0</v>
      </c>
      <c r="N37" s="35">
        <f>IF(Horaires356731011[[#This Row],[Fin]]&lt;Horaires356731011[[#This Row],[début]],MAX(0,MIN(Horaires356731011[[#This Row],[Fin corrigée si nuit]],fin_nuit)-MAX(Horaires356731011[[#This Row],[début]],deb_nuit))*24,(MAX(deb_nuit,Horaires356731011[[#This Row],[Fin]])-MAX(deb_nuit,Horaires356731011[[#This Row],[début]])+MAX(MIN(fin_nuit-1,Horaires356731011[[#This Row],[Fin]])-MIN(fin_nuit-1,Horaires356731011[[#This Row],[début]]),0))*24)</f>
        <v>0</v>
      </c>
      <c r="O37" s="55">
        <f>(MAX(0,MIN(Horaires356731011[[#This Row],[Fin corrigée si nuit]],fin_nuit)-MAX(Horaires356731011[[#This Row],[début]],deb_nuit))-IF(Horaires356731011[[#This Row],[PNP Début]]=0,0,MIN(Horaires356731011[[#This Row],[PNP Fin corrigée]],fin_nuit)-MAX(Horaires356731011[[#This Row],[PNP Début corrigé]],deb_nuit)))*24</f>
        <v>0</v>
      </c>
      <c r="P37" s="55">
        <f>(IF(WEEKDAY(Horaires356731011[[#This Row],[Date]],2)=7,MAX(0,MIN(fin_dimJF,Horaires356731011[[#This Row],[Fin corrigée si nuit]])-MAX(deb_dimJF,Horaires356731011[[#This Row],[début]])),0)+IF(WEEKDAY(Horaires356731011[[#This Row],[Date]],2)=6,MAX(0,Horaires356731011[[#This Row],[Fin corrigée si nuit]]-(1+deb_dimJF)),0))*24</f>
        <v>0</v>
      </c>
      <c r="Q37" s="55">
        <f>(IF(WEEKDAY(Horaires356731011[[#This Row],[Date]],2)=7,MAX(0,MIN(fin_dimJF,Horaires356731011[[#This Row],[Fin corrigée si nuit]])-MAX(deb_dimJF,Horaires356731011[[#This Row],[début]])),0)+IF(WEEKDAY(Horaires356731011[[#This Row],[Date]],2)=6,MAX(0,Horaires356731011[[#This Row],[Fin corrigée si nuit]]-(1+deb_dimJF)),0))*24-
(IF(WEEKDAY(Horaires356731011[[#This Row],[Date]],2)=7,MAX(0,MIN(fin_dimJF,Horaires356731011[[#This Row],[PNP Fin corrigée]])-MAX(deb_dimJF,Horaires356731011[[#This Row],[PNP Début corrigé]])),0)+IF(WEEKDAY(Horaires356731011[[#This Row],[Date]],2)=6,MAX(0,Horaires356731011[[#This Row],[PNP Fin corrigée]]-(1+deb_dimJF)),0))*24</f>
        <v>0</v>
      </c>
      <c r="R37" s="55">
        <f>(IF(COUNTIF(JF,Horaires356731011[[#This Row],[Date]]),MAX(0,MIN(fin_dimJF,Horaires356731011[[#This Row],[Fin corrigée si nuit]])-MAX(deb_dimJF,Horaires356731011[[#This Row],[début]])),0)+IF(COUNTIF(JF,Horaires356731011[[#This Row],[Date]]+1),MAX(0,Horaires356731011[[#This Row],[Fin corrigée si nuit]]-(1+deb_dimJF)),0))*24</f>
        <v>0</v>
      </c>
      <c r="S37" s="55">
        <f>(IF(COUNTIF(JF,Horaires356731011[[#This Row],[Date]]),MAX(0,MIN(fin_dimJF,Horaires356731011[[#This Row],[Fin corrigée si nuit]])-MAX(deb_dimJF,Horaires356731011[[#This Row],[début]])),0)+IF(COUNTIF(JF,Horaires356731011[[#This Row],[Date]]+1),MAX(0,Horaires356731011[[#This Row],[Fin corrigée si nuit]]-(1+deb_dimJF)),0))*24-
(IF(COUNTIF(JF,Horaires356731011[[#This Row],[Date]]),MAX(0,MIN(fin_dimJF,Horaires356731011[[#This Row],[PNP Fin corrigée]])-MAX(deb_dimJF,Horaires356731011[[#This Row],[PNP Début corrigé]])),0)+IF(COUNTIF(JF,Horaires356731011[[#This Row],[Date]]+1),MAX(0,Horaires356731011[[#This Row],[PNP Fin corrigée]]-(1+deb_dimJF)),0))*24</f>
        <v>0</v>
      </c>
    </row>
    <row r="38" spans="1:19" x14ac:dyDescent="0.35">
      <c r="A38" s="5"/>
      <c r="B38" s="1"/>
      <c r="C38" s="2"/>
      <c r="D38" s="2"/>
      <c r="E38" s="3"/>
      <c r="F38" s="3"/>
      <c r="G38" s="3"/>
      <c r="H38" s="3"/>
      <c r="I38" s="51">
        <f>0.1*(Horaires356731011[[#This Row],[Heures de nuit]]+Horaires356731011[[#This Row],[heures jour dimanche]]+Horaires356731011[[#This Row],[heures jour fériés]])</f>
        <v>0</v>
      </c>
      <c r="J38" s="52">
        <f>(MOD(Horaires356731011[[#This Row],[Fin]]-Horaires356731011[[#This Row],[début]],1)-MOD(Horaires356731011[[#This Row],[PNP Fin]]-Horaires356731011[[#This Row],[PNP Début]],1))*24</f>
        <v>0</v>
      </c>
      <c r="K38" s="53">
        <f>IF(Horaires356731011[[#This Row],[PNP Début]]=0,0,IF(Horaires356731011[[#This Row],[PNP Début]]&lt;Horaires356731011[[#This Row],[début]],1,0)+Horaires356731011[[#This Row],[PNP Début]])</f>
        <v>0</v>
      </c>
      <c r="L38" s="54">
        <f>IF(Horaires356731011[[#This Row],[PNP Fin]]=0,0,IF(Horaires356731011[[#This Row],[PNP Fin]]&lt;Horaires356731011[[#This Row],[début]],1,0)+Horaires356731011[[#This Row],[PNP Fin]])</f>
        <v>0</v>
      </c>
      <c r="M38" s="54">
        <f>IF(Horaires356731011[[#This Row],[Fin]]&lt;Horaires356731011[[#This Row],[début]],1,0)+Horaires356731011[[#This Row],[Fin]]</f>
        <v>0</v>
      </c>
      <c r="N38" s="35">
        <f>IF(Horaires356731011[[#This Row],[Fin]]&lt;Horaires356731011[[#This Row],[début]],MAX(0,MIN(Horaires356731011[[#This Row],[Fin corrigée si nuit]],fin_nuit)-MAX(Horaires356731011[[#This Row],[début]],deb_nuit))*24,(MAX(deb_nuit,Horaires356731011[[#This Row],[Fin]])-MAX(deb_nuit,Horaires356731011[[#This Row],[début]])+MAX(MIN(fin_nuit-1,Horaires356731011[[#This Row],[Fin]])-MIN(fin_nuit-1,Horaires356731011[[#This Row],[début]]),0))*24)</f>
        <v>0</v>
      </c>
      <c r="O38" s="55">
        <f>(MAX(0,MIN(Horaires356731011[[#This Row],[Fin corrigée si nuit]],fin_nuit)-MAX(Horaires356731011[[#This Row],[début]],deb_nuit))-IF(Horaires356731011[[#This Row],[PNP Début]]=0,0,MIN(Horaires356731011[[#This Row],[PNP Fin corrigée]],fin_nuit)-MAX(Horaires356731011[[#This Row],[PNP Début corrigé]],deb_nuit)))*24</f>
        <v>0</v>
      </c>
      <c r="P38" s="55">
        <f>(IF(WEEKDAY(Horaires356731011[[#This Row],[Date]],2)=7,MAX(0,MIN(fin_dimJF,Horaires356731011[[#This Row],[Fin corrigée si nuit]])-MAX(deb_dimJF,Horaires356731011[[#This Row],[début]])),0)+IF(WEEKDAY(Horaires356731011[[#This Row],[Date]],2)=6,MAX(0,Horaires356731011[[#This Row],[Fin corrigée si nuit]]-(1+deb_dimJF)),0))*24</f>
        <v>0</v>
      </c>
      <c r="Q38" s="55">
        <f>(IF(WEEKDAY(Horaires356731011[[#This Row],[Date]],2)=7,MAX(0,MIN(fin_dimJF,Horaires356731011[[#This Row],[Fin corrigée si nuit]])-MAX(deb_dimJF,Horaires356731011[[#This Row],[début]])),0)+IF(WEEKDAY(Horaires356731011[[#This Row],[Date]],2)=6,MAX(0,Horaires356731011[[#This Row],[Fin corrigée si nuit]]-(1+deb_dimJF)),0))*24-
(IF(WEEKDAY(Horaires356731011[[#This Row],[Date]],2)=7,MAX(0,MIN(fin_dimJF,Horaires356731011[[#This Row],[PNP Fin corrigée]])-MAX(deb_dimJF,Horaires356731011[[#This Row],[PNP Début corrigé]])),0)+IF(WEEKDAY(Horaires356731011[[#This Row],[Date]],2)=6,MAX(0,Horaires356731011[[#This Row],[PNP Fin corrigée]]-(1+deb_dimJF)),0))*24</f>
        <v>0</v>
      </c>
      <c r="R38" s="55">
        <f>(IF(COUNTIF(JF,Horaires356731011[[#This Row],[Date]]),MAX(0,MIN(fin_dimJF,Horaires356731011[[#This Row],[Fin corrigée si nuit]])-MAX(deb_dimJF,Horaires356731011[[#This Row],[début]])),0)+IF(COUNTIF(JF,Horaires356731011[[#This Row],[Date]]+1),MAX(0,Horaires356731011[[#This Row],[Fin corrigée si nuit]]-(1+deb_dimJF)),0))*24</f>
        <v>0</v>
      </c>
      <c r="S38" s="55">
        <f>(IF(COUNTIF(JF,Horaires356731011[[#This Row],[Date]]),MAX(0,MIN(fin_dimJF,Horaires356731011[[#This Row],[Fin corrigée si nuit]])-MAX(deb_dimJF,Horaires356731011[[#This Row],[début]])),0)+IF(COUNTIF(JF,Horaires356731011[[#This Row],[Date]]+1),MAX(0,Horaires356731011[[#This Row],[Fin corrigée si nuit]]-(1+deb_dimJF)),0))*24-
(IF(COUNTIF(JF,Horaires356731011[[#This Row],[Date]]),MAX(0,MIN(fin_dimJF,Horaires356731011[[#This Row],[PNP Fin corrigée]])-MAX(deb_dimJF,Horaires356731011[[#This Row],[PNP Début corrigé]])),0)+IF(COUNTIF(JF,Horaires356731011[[#This Row],[Date]]+1),MAX(0,Horaires356731011[[#This Row],[PNP Fin corrigée]]-(1+deb_dimJF)),0))*24</f>
        <v>0</v>
      </c>
    </row>
    <row r="39" spans="1:19" x14ac:dyDescent="0.35">
      <c r="A39" s="5"/>
      <c r="B39" s="1"/>
      <c r="C39" s="2"/>
      <c r="D39" s="2"/>
      <c r="E39" s="3"/>
      <c r="F39" s="3"/>
      <c r="G39" s="3"/>
      <c r="H39" s="3"/>
      <c r="I39" s="51">
        <f>0.1*(Horaires356731011[[#This Row],[Heures de nuit]]+Horaires356731011[[#This Row],[heures jour dimanche]]+Horaires356731011[[#This Row],[heures jour fériés]])</f>
        <v>0</v>
      </c>
      <c r="J39" s="52">
        <f>(MOD(Horaires356731011[[#This Row],[Fin]]-Horaires356731011[[#This Row],[début]],1)-MOD(Horaires356731011[[#This Row],[PNP Fin]]-Horaires356731011[[#This Row],[PNP Début]],1))*24</f>
        <v>0</v>
      </c>
      <c r="K39" s="53">
        <f>IF(Horaires356731011[[#This Row],[PNP Début]]=0,0,IF(Horaires356731011[[#This Row],[PNP Début]]&lt;Horaires356731011[[#This Row],[début]],1,0)+Horaires356731011[[#This Row],[PNP Début]])</f>
        <v>0</v>
      </c>
      <c r="L39" s="54">
        <f>IF(Horaires356731011[[#This Row],[PNP Fin]]=0,0,IF(Horaires356731011[[#This Row],[PNP Fin]]&lt;Horaires356731011[[#This Row],[début]],1,0)+Horaires356731011[[#This Row],[PNP Fin]])</f>
        <v>0</v>
      </c>
      <c r="M39" s="54">
        <f>IF(Horaires356731011[[#This Row],[Fin]]&lt;Horaires356731011[[#This Row],[début]],1,0)+Horaires356731011[[#This Row],[Fin]]</f>
        <v>0</v>
      </c>
      <c r="N39" s="35">
        <f>IF(Horaires356731011[[#This Row],[Fin]]&lt;Horaires356731011[[#This Row],[début]],MAX(0,MIN(Horaires356731011[[#This Row],[Fin corrigée si nuit]],fin_nuit)-MAX(Horaires356731011[[#This Row],[début]],deb_nuit))*24,(MAX(deb_nuit,Horaires356731011[[#This Row],[Fin]])-MAX(deb_nuit,Horaires356731011[[#This Row],[début]])+MAX(MIN(fin_nuit-1,Horaires356731011[[#This Row],[Fin]])-MIN(fin_nuit-1,Horaires356731011[[#This Row],[début]]),0))*24)</f>
        <v>0</v>
      </c>
      <c r="O39" s="55">
        <f>(MAX(0,MIN(Horaires356731011[[#This Row],[Fin corrigée si nuit]],fin_nuit)-MAX(Horaires356731011[[#This Row],[début]],deb_nuit))-IF(Horaires356731011[[#This Row],[PNP Début]]=0,0,MIN(Horaires356731011[[#This Row],[PNP Fin corrigée]],fin_nuit)-MAX(Horaires356731011[[#This Row],[PNP Début corrigé]],deb_nuit)))*24</f>
        <v>0</v>
      </c>
      <c r="P39" s="55">
        <f>(IF(WEEKDAY(Horaires356731011[[#This Row],[Date]],2)=7,MAX(0,MIN(fin_dimJF,Horaires356731011[[#This Row],[Fin corrigée si nuit]])-MAX(deb_dimJF,Horaires356731011[[#This Row],[début]])),0)+IF(WEEKDAY(Horaires356731011[[#This Row],[Date]],2)=6,MAX(0,Horaires356731011[[#This Row],[Fin corrigée si nuit]]-(1+deb_dimJF)),0))*24</f>
        <v>0</v>
      </c>
      <c r="Q39" s="55">
        <f>(IF(WEEKDAY(Horaires356731011[[#This Row],[Date]],2)=7,MAX(0,MIN(fin_dimJF,Horaires356731011[[#This Row],[Fin corrigée si nuit]])-MAX(deb_dimJF,Horaires356731011[[#This Row],[début]])),0)+IF(WEEKDAY(Horaires356731011[[#This Row],[Date]],2)=6,MAX(0,Horaires356731011[[#This Row],[Fin corrigée si nuit]]-(1+deb_dimJF)),0))*24-
(IF(WEEKDAY(Horaires356731011[[#This Row],[Date]],2)=7,MAX(0,MIN(fin_dimJF,Horaires356731011[[#This Row],[PNP Fin corrigée]])-MAX(deb_dimJF,Horaires356731011[[#This Row],[PNP Début corrigé]])),0)+IF(WEEKDAY(Horaires356731011[[#This Row],[Date]],2)=6,MAX(0,Horaires356731011[[#This Row],[PNP Fin corrigée]]-(1+deb_dimJF)),0))*24</f>
        <v>0</v>
      </c>
      <c r="R39" s="55">
        <f>(IF(COUNTIF(JF,Horaires356731011[[#This Row],[Date]]),MAX(0,MIN(fin_dimJF,Horaires356731011[[#This Row],[Fin corrigée si nuit]])-MAX(deb_dimJF,Horaires356731011[[#This Row],[début]])),0)+IF(COUNTIF(JF,Horaires356731011[[#This Row],[Date]]+1),MAX(0,Horaires356731011[[#This Row],[Fin corrigée si nuit]]-(1+deb_dimJF)),0))*24</f>
        <v>0</v>
      </c>
      <c r="S39" s="55">
        <f>(IF(COUNTIF(JF,Horaires356731011[[#This Row],[Date]]),MAX(0,MIN(fin_dimJF,Horaires356731011[[#This Row],[Fin corrigée si nuit]])-MAX(deb_dimJF,Horaires356731011[[#This Row],[début]])),0)+IF(COUNTIF(JF,Horaires356731011[[#This Row],[Date]]+1),MAX(0,Horaires356731011[[#This Row],[Fin corrigée si nuit]]-(1+deb_dimJF)),0))*24-
(IF(COUNTIF(JF,Horaires356731011[[#This Row],[Date]]),MAX(0,MIN(fin_dimJF,Horaires356731011[[#This Row],[PNP Fin corrigée]])-MAX(deb_dimJF,Horaires356731011[[#This Row],[PNP Début corrigé]])),0)+IF(COUNTIF(JF,Horaires356731011[[#This Row],[Date]]+1),MAX(0,Horaires356731011[[#This Row],[PNP Fin corrigée]]-(1+deb_dimJF)),0))*24</f>
        <v>0</v>
      </c>
    </row>
    <row r="40" spans="1:19" x14ac:dyDescent="0.35">
      <c r="A40" s="5"/>
      <c r="B40" s="1"/>
      <c r="C40" s="2"/>
      <c r="D40" s="2"/>
      <c r="E40" s="3"/>
      <c r="F40" s="3"/>
      <c r="G40" s="3"/>
      <c r="H40" s="3"/>
      <c r="I40" s="51">
        <f>0.1*(Horaires356731011[[#This Row],[Heures de nuit]]+Horaires356731011[[#This Row],[heures jour dimanche]]+Horaires356731011[[#This Row],[heures jour fériés]])</f>
        <v>0</v>
      </c>
      <c r="J40" s="52">
        <f>(MOD(Horaires356731011[[#This Row],[Fin]]-Horaires356731011[[#This Row],[début]],1)-MOD(Horaires356731011[[#This Row],[PNP Fin]]-Horaires356731011[[#This Row],[PNP Début]],1))*24</f>
        <v>0</v>
      </c>
      <c r="K40" s="53">
        <f>IF(Horaires356731011[[#This Row],[PNP Début]]=0,0,IF(Horaires356731011[[#This Row],[PNP Début]]&lt;Horaires356731011[[#This Row],[début]],1,0)+Horaires356731011[[#This Row],[PNP Début]])</f>
        <v>0</v>
      </c>
      <c r="L40" s="54">
        <f>IF(Horaires356731011[[#This Row],[PNP Fin]]=0,0,IF(Horaires356731011[[#This Row],[PNP Fin]]&lt;Horaires356731011[[#This Row],[début]],1,0)+Horaires356731011[[#This Row],[PNP Fin]])</f>
        <v>0</v>
      </c>
      <c r="M40" s="54">
        <f>IF(Horaires356731011[[#This Row],[Fin]]&lt;Horaires356731011[[#This Row],[début]],1,0)+Horaires356731011[[#This Row],[Fin]]</f>
        <v>0</v>
      </c>
      <c r="N40" s="35">
        <f>IF(Horaires356731011[[#This Row],[Fin]]&lt;Horaires356731011[[#This Row],[début]],MAX(0,MIN(Horaires356731011[[#This Row],[Fin corrigée si nuit]],fin_nuit)-MAX(Horaires356731011[[#This Row],[début]],deb_nuit))*24,(MAX(deb_nuit,Horaires356731011[[#This Row],[Fin]])-MAX(deb_nuit,Horaires356731011[[#This Row],[début]])+MAX(MIN(fin_nuit-1,Horaires356731011[[#This Row],[Fin]])-MIN(fin_nuit-1,Horaires356731011[[#This Row],[début]]),0))*24)</f>
        <v>0</v>
      </c>
      <c r="O40" s="55">
        <f>(MAX(0,MIN(Horaires356731011[[#This Row],[Fin corrigée si nuit]],fin_nuit)-MAX(Horaires356731011[[#This Row],[début]],deb_nuit))-IF(Horaires356731011[[#This Row],[PNP Début]]=0,0,MIN(Horaires356731011[[#This Row],[PNP Fin corrigée]],fin_nuit)-MAX(Horaires356731011[[#This Row],[PNP Début corrigé]],deb_nuit)))*24</f>
        <v>0</v>
      </c>
      <c r="P40" s="55">
        <f>(IF(WEEKDAY(Horaires356731011[[#This Row],[Date]],2)=7,MAX(0,MIN(fin_dimJF,Horaires356731011[[#This Row],[Fin corrigée si nuit]])-MAX(deb_dimJF,Horaires356731011[[#This Row],[début]])),0)+IF(WEEKDAY(Horaires356731011[[#This Row],[Date]],2)=6,MAX(0,Horaires356731011[[#This Row],[Fin corrigée si nuit]]-(1+deb_dimJF)),0))*24</f>
        <v>0</v>
      </c>
      <c r="Q40" s="55">
        <f>(IF(WEEKDAY(Horaires356731011[[#This Row],[Date]],2)=7,MAX(0,MIN(fin_dimJF,Horaires356731011[[#This Row],[Fin corrigée si nuit]])-MAX(deb_dimJF,Horaires356731011[[#This Row],[début]])),0)+IF(WEEKDAY(Horaires356731011[[#This Row],[Date]],2)=6,MAX(0,Horaires356731011[[#This Row],[Fin corrigée si nuit]]-(1+deb_dimJF)),0))*24-
(IF(WEEKDAY(Horaires356731011[[#This Row],[Date]],2)=7,MAX(0,MIN(fin_dimJF,Horaires356731011[[#This Row],[PNP Fin corrigée]])-MAX(deb_dimJF,Horaires356731011[[#This Row],[PNP Début corrigé]])),0)+IF(WEEKDAY(Horaires356731011[[#This Row],[Date]],2)=6,MAX(0,Horaires356731011[[#This Row],[PNP Fin corrigée]]-(1+deb_dimJF)),0))*24</f>
        <v>0</v>
      </c>
      <c r="R40" s="55">
        <f>(IF(COUNTIF(JF,Horaires356731011[[#This Row],[Date]]),MAX(0,MIN(fin_dimJF,Horaires356731011[[#This Row],[Fin corrigée si nuit]])-MAX(deb_dimJF,Horaires356731011[[#This Row],[début]])),0)+IF(COUNTIF(JF,Horaires356731011[[#This Row],[Date]]+1),MAX(0,Horaires356731011[[#This Row],[Fin corrigée si nuit]]-(1+deb_dimJF)),0))*24</f>
        <v>0</v>
      </c>
      <c r="S40" s="55">
        <f>(IF(COUNTIF(JF,Horaires356731011[[#This Row],[Date]]),MAX(0,MIN(fin_dimJF,Horaires356731011[[#This Row],[Fin corrigée si nuit]])-MAX(deb_dimJF,Horaires356731011[[#This Row],[début]])),0)+IF(COUNTIF(JF,Horaires356731011[[#This Row],[Date]]+1),MAX(0,Horaires356731011[[#This Row],[Fin corrigée si nuit]]-(1+deb_dimJF)),0))*24-
(IF(COUNTIF(JF,Horaires356731011[[#This Row],[Date]]),MAX(0,MIN(fin_dimJF,Horaires356731011[[#This Row],[PNP Fin corrigée]])-MAX(deb_dimJF,Horaires356731011[[#This Row],[PNP Début corrigé]])),0)+IF(COUNTIF(JF,Horaires356731011[[#This Row],[Date]]+1),MAX(0,Horaires356731011[[#This Row],[PNP Fin corrigée]]-(1+deb_dimJF)),0))*24</f>
        <v>0</v>
      </c>
    </row>
    <row r="41" spans="1:19" x14ac:dyDescent="0.35">
      <c r="A41" s="5"/>
      <c r="B41" s="1"/>
      <c r="C41" s="2"/>
      <c r="D41" s="2"/>
      <c r="E41" s="3"/>
      <c r="F41" s="3"/>
      <c r="G41" s="3"/>
      <c r="H41" s="3"/>
      <c r="I41" s="51">
        <f>0.1*(Horaires356731011[[#This Row],[Heures de nuit]]+Horaires356731011[[#This Row],[heures jour dimanche]]+Horaires356731011[[#This Row],[heures jour fériés]])</f>
        <v>0</v>
      </c>
      <c r="J41" s="52">
        <f>(MOD(Horaires356731011[[#This Row],[Fin]]-Horaires356731011[[#This Row],[début]],1)-MOD(Horaires356731011[[#This Row],[PNP Fin]]-Horaires356731011[[#This Row],[PNP Début]],1))*24</f>
        <v>0</v>
      </c>
      <c r="K41" s="53">
        <f>IF(Horaires356731011[[#This Row],[PNP Début]]=0,0,IF(Horaires356731011[[#This Row],[PNP Début]]&lt;Horaires356731011[[#This Row],[début]],1,0)+Horaires356731011[[#This Row],[PNP Début]])</f>
        <v>0</v>
      </c>
      <c r="L41" s="54">
        <f>IF(Horaires356731011[[#This Row],[PNP Fin]]=0,0,IF(Horaires356731011[[#This Row],[PNP Fin]]&lt;Horaires356731011[[#This Row],[début]],1,0)+Horaires356731011[[#This Row],[PNP Fin]])</f>
        <v>0</v>
      </c>
      <c r="M41" s="54">
        <f>IF(Horaires356731011[[#This Row],[Fin]]&lt;Horaires356731011[[#This Row],[début]],1,0)+Horaires356731011[[#This Row],[Fin]]</f>
        <v>0</v>
      </c>
      <c r="N41" s="35">
        <f>IF(Horaires356731011[[#This Row],[Fin]]&lt;Horaires356731011[[#This Row],[début]],MAX(0,MIN(Horaires356731011[[#This Row],[Fin corrigée si nuit]],fin_nuit)-MAX(Horaires356731011[[#This Row],[début]],deb_nuit))*24,(MAX(deb_nuit,Horaires356731011[[#This Row],[Fin]])-MAX(deb_nuit,Horaires356731011[[#This Row],[début]])+MAX(MIN(fin_nuit-1,Horaires356731011[[#This Row],[Fin]])-MIN(fin_nuit-1,Horaires356731011[[#This Row],[début]]),0))*24)</f>
        <v>0</v>
      </c>
      <c r="O41" s="55">
        <f>(MAX(0,MIN(Horaires356731011[[#This Row],[Fin corrigée si nuit]],fin_nuit)-MAX(Horaires356731011[[#This Row],[début]],deb_nuit))-IF(Horaires356731011[[#This Row],[PNP Début]]=0,0,MIN(Horaires356731011[[#This Row],[PNP Fin corrigée]],fin_nuit)-MAX(Horaires356731011[[#This Row],[PNP Début corrigé]],deb_nuit)))*24</f>
        <v>0</v>
      </c>
      <c r="P41" s="55">
        <f>(IF(WEEKDAY(Horaires356731011[[#This Row],[Date]],2)=7,MAX(0,MIN(fin_dimJF,Horaires356731011[[#This Row],[Fin corrigée si nuit]])-MAX(deb_dimJF,Horaires356731011[[#This Row],[début]])),0)+IF(WEEKDAY(Horaires356731011[[#This Row],[Date]],2)=6,MAX(0,Horaires356731011[[#This Row],[Fin corrigée si nuit]]-(1+deb_dimJF)),0))*24</f>
        <v>0</v>
      </c>
      <c r="Q41" s="55">
        <f>(IF(WEEKDAY(Horaires356731011[[#This Row],[Date]],2)=7,MAX(0,MIN(fin_dimJF,Horaires356731011[[#This Row],[Fin corrigée si nuit]])-MAX(deb_dimJF,Horaires356731011[[#This Row],[début]])),0)+IF(WEEKDAY(Horaires356731011[[#This Row],[Date]],2)=6,MAX(0,Horaires356731011[[#This Row],[Fin corrigée si nuit]]-(1+deb_dimJF)),0))*24-
(IF(WEEKDAY(Horaires356731011[[#This Row],[Date]],2)=7,MAX(0,MIN(fin_dimJF,Horaires356731011[[#This Row],[PNP Fin corrigée]])-MAX(deb_dimJF,Horaires356731011[[#This Row],[PNP Début corrigé]])),0)+IF(WEEKDAY(Horaires356731011[[#This Row],[Date]],2)=6,MAX(0,Horaires356731011[[#This Row],[PNP Fin corrigée]]-(1+deb_dimJF)),0))*24</f>
        <v>0</v>
      </c>
      <c r="R41" s="55">
        <f>(IF(COUNTIF(JF,Horaires356731011[[#This Row],[Date]]),MAX(0,MIN(fin_dimJF,Horaires356731011[[#This Row],[Fin corrigée si nuit]])-MAX(deb_dimJF,Horaires356731011[[#This Row],[début]])),0)+IF(COUNTIF(JF,Horaires356731011[[#This Row],[Date]]+1),MAX(0,Horaires356731011[[#This Row],[Fin corrigée si nuit]]-(1+deb_dimJF)),0))*24</f>
        <v>0</v>
      </c>
      <c r="S41" s="55">
        <f>(IF(COUNTIF(JF,Horaires356731011[[#This Row],[Date]]),MAX(0,MIN(fin_dimJF,Horaires356731011[[#This Row],[Fin corrigée si nuit]])-MAX(deb_dimJF,Horaires356731011[[#This Row],[début]])),0)+IF(COUNTIF(JF,Horaires356731011[[#This Row],[Date]]+1),MAX(0,Horaires356731011[[#This Row],[Fin corrigée si nuit]]-(1+deb_dimJF)),0))*24-
(IF(COUNTIF(JF,Horaires356731011[[#This Row],[Date]]),MAX(0,MIN(fin_dimJF,Horaires356731011[[#This Row],[PNP Fin corrigée]])-MAX(deb_dimJF,Horaires356731011[[#This Row],[PNP Début corrigé]])),0)+IF(COUNTIF(JF,Horaires356731011[[#This Row],[Date]]+1),MAX(0,Horaires356731011[[#This Row],[PNP Fin corrigée]]-(1+deb_dimJF)),0))*24</f>
        <v>0</v>
      </c>
    </row>
    <row r="42" spans="1:19" x14ac:dyDescent="0.35">
      <c r="A42" s="5"/>
      <c r="B42" s="1"/>
      <c r="C42" s="2"/>
      <c r="D42" s="2"/>
      <c r="E42" s="3"/>
      <c r="F42" s="3"/>
      <c r="G42" s="3"/>
      <c r="H42" s="3"/>
      <c r="I42" s="51">
        <f>0.1*(Horaires356731011[[#This Row],[Heures de nuit]]+Horaires356731011[[#This Row],[heures jour dimanche]]+Horaires356731011[[#This Row],[heures jour fériés]])</f>
        <v>0</v>
      </c>
      <c r="J42" s="52">
        <f>(MOD(Horaires356731011[[#This Row],[Fin]]-Horaires356731011[[#This Row],[début]],1)-MOD(Horaires356731011[[#This Row],[PNP Fin]]-Horaires356731011[[#This Row],[PNP Début]],1))*24</f>
        <v>0</v>
      </c>
      <c r="K42" s="53">
        <f>IF(Horaires356731011[[#This Row],[PNP Début]]=0,0,IF(Horaires356731011[[#This Row],[PNP Début]]&lt;Horaires356731011[[#This Row],[début]],1,0)+Horaires356731011[[#This Row],[PNP Début]])</f>
        <v>0</v>
      </c>
      <c r="L42" s="54">
        <f>IF(Horaires356731011[[#This Row],[PNP Fin]]=0,0,IF(Horaires356731011[[#This Row],[PNP Fin]]&lt;Horaires356731011[[#This Row],[début]],1,0)+Horaires356731011[[#This Row],[PNP Fin]])</f>
        <v>0</v>
      </c>
      <c r="M42" s="54">
        <f>IF(Horaires356731011[[#This Row],[Fin]]&lt;Horaires356731011[[#This Row],[début]],1,0)+Horaires356731011[[#This Row],[Fin]]</f>
        <v>0</v>
      </c>
      <c r="N42" s="35">
        <f>IF(Horaires356731011[[#This Row],[Fin]]&lt;Horaires356731011[[#This Row],[début]],MAX(0,MIN(Horaires356731011[[#This Row],[Fin corrigée si nuit]],fin_nuit)-MAX(Horaires356731011[[#This Row],[début]],deb_nuit))*24,(MAX(deb_nuit,Horaires356731011[[#This Row],[Fin]])-MAX(deb_nuit,Horaires356731011[[#This Row],[début]])+MAX(MIN(fin_nuit-1,Horaires356731011[[#This Row],[Fin]])-MIN(fin_nuit-1,Horaires356731011[[#This Row],[début]]),0))*24)</f>
        <v>0</v>
      </c>
      <c r="O42" s="55">
        <f>(MAX(0,MIN(Horaires356731011[[#This Row],[Fin corrigée si nuit]],fin_nuit)-MAX(Horaires356731011[[#This Row],[début]],deb_nuit))-IF(Horaires356731011[[#This Row],[PNP Début]]=0,0,MIN(Horaires356731011[[#This Row],[PNP Fin corrigée]],fin_nuit)-MAX(Horaires356731011[[#This Row],[PNP Début corrigé]],deb_nuit)))*24</f>
        <v>0</v>
      </c>
      <c r="P42" s="55">
        <f>(IF(WEEKDAY(Horaires356731011[[#This Row],[Date]],2)=7,MAX(0,MIN(fin_dimJF,Horaires356731011[[#This Row],[Fin corrigée si nuit]])-MAX(deb_dimJF,Horaires356731011[[#This Row],[début]])),0)+IF(WEEKDAY(Horaires356731011[[#This Row],[Date]],2)=6,MAX(0,Horaires356731011[[#This Row],[Fin corrigée si nuit]]-(1+deb_dimJF)),0))*24</f>
        <v>0</v>
      </c>
      <c r="Q42" s="55">
        <f>(IF(WEEKDAY(Horaires356731011[[#This Row],[Date]],2)=7,MAX(0,MIN(fin_dimJF,Horaires356731011[[#This Row],[Fin corrigée si nuit]])-MAX(deb_dimJF,Horaires356731011[[#This Row],[début]])),0)+IF(WEEKDAY(Horaires356731011[[#This Row],[Date]],2)=6,MAX(0,Horaires356731011[[#This Row],[Fin corrigée si nuit]]-(1+deb_dimJF)),0))*24-
(IF(WEEKDAY(Horaires356731011[[#This Row],[Date]],2)=7,MAX(0,MIN(fin_dimJF,Horaires356731011[[#This Row],[PNP Fin corrigée]])-MAX(deb_dimJF,Horaires356731011[[#This Row],[PNP Début corrigé]])),0)+IF(WEEKDAY(Horaires356731011[[#This Row],[Date]],2)=6,MAX(0,Horaires356731011[[#This Row],[PNP Fin corrigée]]-(1+deb_dimJF)),0))*24</f>
        <v>0</v>
      </c>
      <c r="R42" s="55">
        <f>(IF(COUNTIF(JF,Horaires356731011[[#This Row],[Date]]),MAX(0,MIN(fin_dimJF,Horaires356731011[[#This Row],[Fin corrigée si nuit]])-MAX(deb_dimJF,Horaires356731011[[#This Row],[début]])),0)+IF(COUNTIF(JF,Horaires356731011[[#This Row],[Date]]+1),MAX(0,Horaires356731011[[#This Row],[Fin corrigée si nuit]]-(1+deb_dimJF)),0))*24</f>
        <v>0</v>
      </c>
      <c r="S42" s="55">
        <f>(IF(COUNTIF(JF,Horaires356731011[[#This Row],[Date]]),MAX(0,MIN(fin_dimJF,Horaires356731011[[#This Row],[Fin corrigée si nuit]])-MAX(deb_dimJF,Horaires356731011[[#This Row],[début]])),0)+IF(COUNTIF(JF,Horaires356731011[[#This Row],[Date]]+1),MAX(0,Horaires356731011[[#This Row],[Fin corrigée si nuit]]-(1+deb_dimJF)),0))*24-
(IF(COUNTIF(JF,Horaires356731011[[#This Row],[Date]]),MAX(0,MIN(fin_dimJF,Horaires356731011[[#This Row],[PNP Fin corrigée]])-MAX(deb_dimJF,Horaires356731011[[#This Row],[PNP Début corrigé]])),0)+IF(COUNTIF(JF,Horaires356731011[[#This Row],[Date]]+1),MAX(0,Horaires356731011[[#This Row],[PNP Fin corrigée]]-(1+deb_dimJF)),0))*24</f>
        <v>0</v>
      </c>
    </row>
    <row r="43" spans="1:19" x14ac:dyDescent="0.35">
      <c r="A43" s="5"/>
      <c r="B43" s="1"/>
      <c r="C43" s="2"/>
      <c r="D43" s="2"/>
      <c r="E43" s="3"/>
      <c r="F43" s="3"/>
      <c r="G43" s="3"/>
      <c r="H43" s="3"/>
      <c r="I43" s="51">
        <f>0.1*(Horaires356731011[[#This Row],[Heures de nuit]]+Horaires356731011[[#This Row],[heures jour dimanche]]+Horaires356731011[[#This Row],[heures jour fériés]])</f>
        <v>0</v>
      </c>
      <c r="J43" s="52">
        <f>(MOD(Horaires356731011[[#This Row],[Fin]]-Horaires356731011[[#This Row],[début]],1)-MOD(Horaires356731011[[#This Row],[PNP Fin]]-Horaires356731011[[#This Row],[PNP Début]],1))*24</f>
        <v>0</v>
      </c>
      <c r="K43" s="53">
        <f>IF(Horaires356731011[[#This Row],[PNP Début]]=0,0,IF(Horaires356731011[[#This Row],[PNP Début]]&lt;Horaires356731011[[#This Row],[début]],1,0)+Horaires356731011[[#This Row],[PNP Début]])</f>
        <v>0</v>
      </c>
      <c r="L43" s="54">
        <f>IF(Horaires356731011[[#This Row],[PNP Fin]]=0,0,IF(Horaires356731011[[#This Row],[PNP Fin]]&lt;Horaires356731011[[#This Row],[début]],1,0)+Horaires356731011[[#This Row],[PNP Fin]])</f>
        <v>0</v>
      </c>
      <c r="M43" s="54">
        <f>IF(Horaires356731011[[#This Row],[Fin]]&lt;Horaires356731011[[#This Row],[début]],1,0)+Horaires356731011[[#This Row],[Fin]]</f>
        <v>0</v>
      </c>
      <c r="N43" s="35">
        <f>IF(Horaires356731011[[#This Row],[Fin]]&lt;Horaires356731011[[#This Row],[début]],MAX(0,MIN(Horaires356731011[[#This Row],[Fin corrigée si nuit]],fin_nuit)-MAX(Horaires356731011[[#This Row],[début]],deb_nuit))*24,(MAX(deb_nuit,Horaires356731011[[#This Row],[Fin]])-MAX(deb_nuit,Horaires356731011[[#This Row],[début]])+MAX(MIN(fin_nuit-1,Horaires356731011[[#This Row],[Fin]])-MIN(fin_nuit-1,Horaires356731011[[#This Row],[début]]),0))*24)</f>
        <v>0</v>
      </c>
      <c r="O43" s="55">
        <f>(MAX(0,MIN(Horaires356731011[[#This Row],[Fin corrigée si nuit]],fin_nuit)-MAX(Horaires356731011[[#This Row],[début]],deb_nuit))-IF(Horaires356731011[[#This Row],[PNP Début]]=0,0,MIN(Horaires356731011[[#This Row],[PNP Fin corrigée]],fin_nuit)-MAX(Horaires356731011[[#This Row],[PNP Début corrigé]],deb_nuit)))*24</f>
        <v>0</v>
      </c>
      <c r="P43" s="55">
        <f>(IF(WEEKDAY(Horaires356731011[[#This Row],[Date]],2)=7,MAX(0,MIN(fin_dimJF,Horaires356731011[[#This Row],[Fin corrigée si nuit]])-MAX(deb_dimJF,Horaires356731011[[#This Row],[début]])),0)+IF(WEEKDAY(Horaires356731011[[#This Row],[Date]],2)=6,MAX(0,Horaires356731011[[#This Row],[Fin corrigée si nuit]]-(1+deb_dimJF)),0))*24</f>
        <v>0</v>
      </c>
      <c r="Q43" s="55">
        <f>(IF(WEEKDAY(Horaires356731011[[#This Row],[Date]],2)=7,MAX(0,MIN(fin_dimJF,Horaires356731011[[#This Row],[Fin corrigée si nuit]])-MAX(deb_dimJF,Horaires356731011[[#This Row],[début]])),0)+IF(WEEKDAY(Horaires356731011[[#This Row],[Date]],2)=6,MAX(0,Horaires356731011[[#This Row],[Fin corrigée si nuit]]-(1+deb_dimJF)),0))*24-
(IF(WEEKDAY(Horaires356731011[[#This Row],[Date]],2)=7,MAX(0,MIN(fin_dimJF,Horaires356731011[[#This Row],[PNP Fin corrigée]])-MAX(deb_dimJF,Horaires356731011[[#This Row],[PNP Début corrigé]])),0)+IF(WEEKDAY(Horaires356731011[[#This Row],[Date]],2)=6,MAX(0,Horaires356731011[[#This Row],[PNP Fin corrigée]]-(1+deb_dimJF)),0))*24</f>
        <v>0</v>
      </c>
      <c r="R43" s="55">
        <f>(IF(COUNTIF(JF,Horaires356731011[[#This Row],[Date]]),MAX(0,MIN(fin_dimJF,Horaires356731011[[#This Row],[Fin corrigée si nuit]])-MAX(deb_dimJF,Horaires356731011[[#This Row],[début]])),0)+IF(COUNTIF(JF,Horaires356731011[[#This Row],[Date]]+1),MAX(0,Horaires356731011[[#This Row],[Fin corrigée si nuit]]-(1+deb_dimJF)),0))*24</f>
        <v>0</v>
      </c>
      <c r="S43" s="55">
        <f>(IF(COUNTIF(JF,Horaires356731011[[#This Row],[Date]]),MAX(0,MIN(fin_dimJF,Horaires356731011[[#This Row],[Fin corrigée si nuit]])-MAX(deb_dimJF,Horaires356731011[[#This Row],[début]])),0)+IF(COUNTIF(JF,Horaires356731011[[#This Row],[Date]]+1),MAX(0,Horaires356731011[[#This Row],[Fin corrigée si nuit]]-(1+deb_dimJF)),0))*24-
(IF(COUNTIF(JF,Horaires356731011[[#This Row],[Date]]),MAX(0,MIN(fin_dimJF,Horaires356731011[[#This Row],[PNP Fin corrigée]])-MAX(deb_dimJF,Horaires356731011[[#This Row],[PNP Début corrigé]])),0)+IF(COUNTIF(JF,Horaires356731011[[#This Row],[Date]]+1),MAX(0,Horaires356731011[[#This Row],[PNP Fin corrigée]]-(1+deb_dimJF)),0))*24</f>
        <v>0</v>
      </c>
    </row>
    <row r="44" spans="1:19" x14ac:dyDescent="0.35">
      <c r="A44" s="5"/>
      <c r="B44" s="1"/>
      <c r="C44" s="2"/>
      <c r="D44" s="2"/>
      <c r="E44" s="3"/>
      <c r="F44" s="3"/>
      <c r="G44" s="3"/>
      <c r="H44" s="3"/>
      <c r="I44" s="51">
        <f>0.1*(Horaires356731011[[#This Row],[Heures de nuit]]+Horaires356731011[[#This Row],[heures jour dimanche]]+Horaires356731011[[#This Row],[heures jour fériés]])</f>
        <v>0</v>
      </c>
      <c r="J44" s="52">
        <f>(MOD(Horaires356731011[[#This Row],[Fin]]-Horaires356731011[[#This Row],[début]],1)-MOD(Horaires356731011[[#This Row],[PNP Fin]]-Horaires356731011[[#This Row],[PNP Début]],1))*24</f>
        <v>0</v>
      </c>
      <c r="K44" s="53">
        <f>IF(Horaires356731011[[#This Row],[PNP Début]]=0,0,IF(Horaires356731011[[#This Row],[PNP Début]]&lt;Horaires356731011[[#This Row],[début]],1,0)+Horaires356731011[[#This Row],[PNP Début]])</f>
        <v>0</v>
      </c>
      <c r="L44" s="54">
        <f>IF(Horaires356731011[[#This Row],[PNP Fin]]=0,0,IF(Horaires356731011[[#This Row],[PNP Fin]]&lt;Horaires356731011[[#This Row],[début]],1,0)+Horaires356731011[[#This Row],[PNP Fin]])</f>
        <v>0</v>
      </c>
      <c r="M44" s="54">
        <f>IF(Horaires356731011[[#This Row],[Fin]]&lt;Horaires356731011[[#This Row],[début]],1,0)+Horaires356731011[[#This Row],[Fin]]</f>
        <v>0</v>
      </c>
      <c r="N44" s="35">
        <f>IF(Horaires356731011[[#This Row],[Fin]]&lt;Horaires356731011[[#This Row],[début]],MAX(0,MIN(Horaires356731011[[#This Row],[Fin corrigée si nuit]],fin_nuit)-MAX(Horaires356731011[[#This Row],[début]],deb_nuit))*24,(MAX(deb_nuit,Horaires356731011[[#This Row],[Fin]])-MAX(deb_nuit,Horaires356731011[[#This Row],[début]])+MAX(MIN(fin_nuit-1,Horaires356731011[[#This Row],[Fin]])-MIN(fin_nuit-1,Horaires356731011[[#This Row],[début]]),0))*24)</f>
        <v>0</v>
      </c>
      <c r="O44" s="55">
        <f>(MAX(0,MIN(Horaires356731011[[#This Row],[Fin corrigée si nuit]],fin_nuit)-MAX(Horaires356731011[[#This Row],[début]],deb_nuit))-IF(Horaires356731011[[#This Row],[PNP Début]]=0,0,MIN(Horaires356731011[[#This Row],[PNP Fin corrigée]],fin_nuit)-MAX(Horaires356731011[[#This Row],[PNP Début corrigé]],deb_nuit)))*24</f>
        <v>0</v>
      </c>
      <c r="P44" s="55">
        <f>(IF(WEEKDAY(Horaires356731011[[#This Row],[Date]],2)=7,MAX(0,MIN(fin_dimJF,Horaires356731011[[#This Row],[Fin corrigée si nuit]])-MAX(deb_dimJF,Horaires356731011[[#This Row],[début]])),0)+IF(WEEKDAY(Horaires356731011[[#This Row],[Date]],2)=6,MAX(0,Horaires356731011[[#This Row],[Fin corrigée si nuit]]-(1+deb_dimJF)),0))*24</f>
        <v>0</v>
      </c>
      <c r="Q44" s="55">
        <f>(IF(WEEKDAY(Horaires356731011[[#This Row],[Date]],2)=7,MAX(0,MIN(fin_dimJF,Horaires356731011[[#This Row],[Fin corrigée si nuit]])-MAX(deb_dimJF,Horaires356731011[[#This Row],[début]])),0)+IF(WEEKDAY(Horaires356731011[[#This Row],[Date]],2)=6,MAX(0,Horaires356731011[[#This Row],[Fin corrigée si nuit]]-(1+deb_dimJF)),0))*24-
(IF(WEEKDAY(Horaires356731011[[#This Row],[Date]],2)=7,MAX(0,MIN(fin_dimJF,Horaires356731011[[#This Row],[PNP Fin corrigée]])-MAX(deb_dimJF,Horaires356731011[[#This Row],[PNP Début corrigé]])),0)+IF(WEEKDAY(Horaires356731011[[#This Row],[Date]],2)=6,MAX(0,Horaires356731011[[#This Row],[PNP Fin corrigée]]-(1+deb_dimJF)),0))*24</f>
        <v>0</v>
      </c>
      <c r="R44" s="55">
        <f>(IF(COUNTIF(JF,Horaires356731011[[#This Row],[Date]]),MAX(0,MIN(fin_dimJF,Horaires356731011[[#This Row],[Fin corrigée si nuit]])-MAX(deb_dimJF,Horaires356731011[[#This Row],[début]])),0)+IF(COUNTIF(JF,Horaires356731011[[#This Row],[Date]]+1),MAX(0,Horaires356731011[[#This Row],[Fin corrigée si nuit]]-(1+deb_dimJF)),0))*24</f>
        <v>0</v>
      </c>
      <c r="S44" s="55">
        <f>(IF(COUNTIF(JF,Horaires356731011[[#This Row],[Date]]),MAX(0,MIN(fin_dimJF,Horaires356731011[[#This Row],[Fin corrigée si nuit]])-MAX(deb_dimJF,Horaires356731011[[#This Row],[début]])),0)+IF(COUNTIF(JF,Horaires356731011[[#This Row],[Date]]+1),MAX(0,Horaires356731011[[#This Row],[Fin corrigée si nuit]]-(1+deb_dimJF)),0))*24-
(IF(COUNTIF(JF,Horaires356731011[[#This Row],[Date]]),MAX(0,MIN(fin_dimJF,Horaires356731011[[#This Row],[PNP Fin corrigée]])-MAX(deb_dimJF,Horaires356731011[[#This Row],[PNP Début corrigé]])),0)+IF(COUNTIF(JF,Horaires356731011[[#This Row],[Date]]+1),MAX(0,Horaires356731011[[#This Row],[PNP Fin corrigée]]-(1+deb_dimJF)),0))*24</f>
        <v>0</v>
      </c>
    </row>
    <row r="45" spans="1:19" x14ac:dyDescent="0.35">
      <c r="A45" s="5"/>
      <c r="B45" s="1"/>
      <c r="C45" s="2"/>
      <c r="D45" s="2"/>
      <c r="E45" s="3"/>
      <c r="F45" s="3"/>
      <c r="G45" s="3"/>
      <c r="H45" s="3"/>
      <c r="I45" s="51">
        <f>0.1*(Horaires356731011[[#This Row],[Heures de nuit]]+Horaires356731011[[#This Row],[heures jour dimanche]]+Horaires356731011[[#This Row],[heures jour fériés]])</f>
        <v>0</v>
      </c>
      <c r="J45" s="52">
        <f>(MOD(Horaires356731011[[#This Row],[Fin]]-Horaires356731011[[#This Row],[début]],1)-MOD(Horaires356731011[[#This Row],[PNP Fin]]-Horaires356731011[[#This Row],[PNP Début]],1))*24</f>
        <v>0</v>
      </c>
      <c r="K45" s="53">
        <f>IF(Horaires356731011[[#This Row],[PNP Début]]=0,0,IF(Horaires356731011[[#This Row],[PNP Début]]&lt;Horaires356731011[[#This Row],[début]],1,0)+Horaires356731011[[#This Row],[PNP Début]])</f>
        <v>0</v>
      </c>
      <c r="L45" s="54">
        <f>IF(Horaires356731011[[#This Row],[PNP Fin]]=0,0,IF(Horaires356731011[[#This Row],[PNP Fin]]&lt;Horaires356731011[[#This Row],[début]],1,0)+Horaires356731011[[#This Row],[PNP Fin]])</f>
        <v>0</v>
      </c>
      <c r="M45" s="54">
        <f>IF(Horaires356731011[[#This Row],[Fin]]&lt;Horaires356731011[[#This Row],[début]],1,0)+Horaires356731011[[#This Row],[Fin]]</f>
        <v>0</v>
      </c>
      <c r="N45" s="35">
        <f>IF(Horaires356731011[[#This Row],[Fin]]&lt;Horaires356731011[[#This Row],[début]],MAX(0,MIN(Horaires356731011[[#This Row],[Fin corrigée si nuit]],fin_nuit)-MAX(Horaires356731011[[#This Row],[début]],deb_nuit))*24,(MAX(deb_nuit,Horaires356731011[[#This Row],[Fin]])-MAX(deb_nuit,Horaires356731011[[#This Row],[début]])+MAX(MIN(fin_nuit-1,Horaires356731011[[#This Row],[Fin]])-MIN(fin_nuit-1,Horaires356731011[[#This Row],[début]]),0))*24)</f>
        <v>0</v>
      </c>
      <c r="O45" s="55">
        <f>(MAX(0,MIN(Horaires356731011[[#This Row],[Fin corrigée si nuit]],fin_nuit)-MAX(Horaires356731011[[#This Row],[début]],deb_nuit))-IF(Horaires356731011[[#This Row],[PNP Début]]=0,0,MIN(Horaires356731011[[#This Row],[PNP Fin corrigée]],fin_nuit)-MAX(Horaires356731011[[#This Row],[PNP Début corrigé]],deb_nuit)))*24</f>
        <v>0</v>
      </c>
      <c r="P45" s="55">
        <f>(IF(WEEKDAY(Horaires356731011[[#This Row],[Date]],2)=7,MAX(0,MIN(fin_dimJF,Horaires356731011[[#This Row],[Fin corrigée si nuit]])-MAX(deb_dimJF,Horaires356731011[[#This Row],[début]])),0)+IF(WEEKDAY(Horaires356731011[[#This Row],[Date]],2)=6,MAX(0,Horaires356731011[[#This Row],[Fin corrigée si nuit]]-(1+deb_dimJF)),0))*24</f>
        <v>0</v>
      </c>
      <c r="Q45" s="55">
        <f>(IF(WEEKDAY(Horaires356731011[[#This Row],[Date]],2)=7,MAX(0,MIN(fin_dimJF,Horaires356731011[[#This Row],[Fin corrigée si nuit]])-MAX(deb_dimJF,Horaires356731011[[#This Row],[début]])),0)+IF(WEEKDAY(Horaires356731011[[#This Row],[Date]],2)=6,MAX(0,Horaires356731011[[#This Row],[Fin corrigée si nuit]]-(1+deb_dimJF)),0))*24-
(IF(WEEKDAY(Horaires356731011[[#This Row],[Date]],2)=7,MAX(0,MIN(fin_dimJF,Horaires356731011[[#This Row],[PNP Fin corrigée]])-MAX(deb_dimJF,Horaires356731011[[#This Row],[PNP Début corrigé]])),0)+IF(WEEKDAY(Horaires356731011[[#This Row],[Date]],2)=6,MAX(0,Horaires356731011[[#This Row],[PNP Fin corrigée]]-(1+deb_dimJF)),0))*24</f>
        <v>0</v>
      </c>
      <c r="R45" s="55">
        <f>(IF(COUNTIF(JF,Horaires356731011[[#This Row],[Date]]),MAX(0,MIN(fin_dimJF,Horaires356731011[[#This Row],[Fin corrigée si nuit]])-MAX(deb_dimJF,Horaires356731011[[#This Row],[début]])),0)+IF(COUNTIF(JF,Horaires356731011[[#This Row],[Date]]+1),MAX(0,Horaires356731011[[#This Row],[Fin corrigée si nuit]]-(1+deb_dimJF)),0))*24</f>
        <v>0</v>
      </c>
      <c r="S45" s="55">
        <f>(IF(COUNTIF(JF,Horaires356731011[[#This Row],[Date]]),MAX(0,MIN(fin_dimJF,Horaires356731011[[#This Row],[Fin corrigée si nuit]])-MAX(deb_dimJF,Horaires356731011[[#This Row],[début]])),0)+IF(COUNTIF(JF,Horaires356731011[[#This Row],[Date]]+1),MAX(0,Horaires356731011[[#This Row],[Fin corrigée si nuit]]-(1+deb_dimJF)),0))*24-
(IF(COUNTIF(JF,Horaires356731011[[#This Row],[Date]]),MAX(0,MIN(fin_dimJF,Horaires356731011[[#This Row],[PNP Fin corrigée]])-MAX(deb_dimJF,Horaires356731011[[#This Row],[PNP Début corrigé]])),0)+IF(COUNTIF(JF,Horaires356731011[[#This Row],[Date]]+1),MAX(0,Horaires356731011[[#This Row],[PNP Fin corrigée]]-(1+deb_dimJF)),0))*24</f>
        <v>0</v>
      </c>
    </row>
    <row r="46" spans="1:19" x14ac:dyDescent="0.35">
      <c r="A46" s="5"/>
      <c r="B46" s="1"/>
      <c r="C46" s="2"/>
      <c r="D46" s="2"/>
      <c r="E46" s="3"/>
      <c r="F46" s="3"/>
      <c r="G46" s="3"/>
      <c r="H46" s="3"/>
      <c r="I46" s="51">
        <f>0.1*(Horaires356731011[[#This Row],[Heures de nuit]]+Horaires356731011[[#This Row],[heures jour dimanche]]+Horaires356731011[[#This Row],[heures jour fériés]])</f>
        <v>0</v>
      </c>
      <c r="J46" s="52">
        <f>(MOD(Horaires356731011[[#This Row],[Fin]]-Horaires356731011[[#This Row],[début]],1)-MOD(Horaires356731011[[#This Row],[PNP Fin]]-Horaires356731011[[#This Row],[PNP Début]],1))*24</f>
        <v>0</v>
      </c>
      <c r="K46" s="53">
        <f>IF(Horaires356731011[[#This Row],[PNP Début]]=0,0,IF(Horaires356731011[[#This Row],[PNP Début]]&lt;Horaires356731011[[#This Row],[début]],1,0)+Horaires356731011[[#This Row],[PNP Début]])</f>
        <v>0</v>
      </c>
      <c r="L46" s="54">
        <f>IF(Horaires356731011[[#This Row],[PNP Fin]]=0,0,IF(Horaires356731011[[#This Row],[PNP Fin]]&lt;Horaires356731011[[#This Row],[début]],1,0)+Horaires356731011[[#This Row],[PNP Fin]])</f>
        <v>0</v>
      </c>
      <c r="M46" s="54">
        <f>IF(Horaires356731011[[#This Row],[Fin]]&lt;Horaires356731011[[#This Row],[début]],1,0)+Horaires356731011[[#This Row],[Fin]]</f>
        <v>0</v>
      </c>
      <c r="N46" s="35">
        <f>IF(Horaires356731011[[#This Row],[Fin]]&lt;Horaires356731011[[#This Row],[début]],MAX(0,MIN(Horaires356731011[[#This Row],[Fin corrigée si nuit]],fin_nuit)-MAX(Horaires356731011[[#This Row],[début]],deb_nuit))*24,(MAX(deb_nuit,Horaires356731011[[#This Row],[Fin]])-MAX(deb_nuit,Horaires356731011[[#This Row],[début]])+MAX(MIN(fin_nuit-1,Horaires356731011[[#This Row],[Fin]])-MIN(fin_nuit-1,Horaires356731011[[#This Row],[début]]),0))*24)</f>
        <v>0</v>
      </c>
      <c r="O46" s="55">
        <f>(MAX(0,MIN(Horaires356731011[[#This Row],[Fin corrigée si nuit]],fin_nuit)-MAX(Horaires356731011[[#This Row],[début]],deb_nuit))-IF(Horaires356731011[[#This Row],[PNP Début]]=0,0,MIN(Horaires356731011[[#This Row],[PNP Fin corrigée]],fin_nuit)-MAX(Horaires356731011[[#This Row],[PNP Début corrigé]],deb_nuit)))*24</f>
        <v>0</v>
      </c>
      <c r="P46" s="55">
        <f>(IF(WEEKDAY(Horaires356731011[[#This Row],[Date]],2)=7,MAX(0,MIN(fin_dimJF,Horaires356731011[[#This Row],[Fin corrigée si nuit]])-MAX(deb_dimJF,Horaires356731011[[#This Row],[début]])),0)+IF(WEEKDAY(Horaires356731011[[#This Row],[Date]],2)=6,MAX(0,Horaires356731011[[#This Row],[Fin corrigée si nuit]]-(1+deb_dimJF)),0))*24</f>
        <v>0</v>
      </c>
      <c r="Q46" s="55">
        <f>(IF(WEEKDAY(Horaires356731011[[#This Row],[Date]],2)=7,MAX(0,MIN(fin_dimJF,Horaires356731011[[#This Row],[Fin corrigée si nuit]])-MAX(deb_dimJF,Horaires356731011[[#This Row],[début]])),0)+IF(WEEKDAY(Horaires356731011[[#This Row],[Date]],2)=6,MAX(0,Horaires356731011[[#This Row],[Fin corrigée si nuit]]-(1+deb_dimJF)),0))*24-
(IF(WEEKDAY(Horaires356731011[[#This Row],[Date]],2)=7,MAX(0,MIN(fin_dimJF,Horaires356731011[[#This Row],[PNP Fin corrigée]])-MAX(deb_dimJF,Horaires356731011[[#This Row],[PNP Début corrigé]])),0)+IF(WEEKDAY(Horaires356731011[[#This Row],[Date]],2)=6,MAX(0,Horaires356731011[[#This Row],[PNP Fin corrigée]]-(1+deb_dimJF)),0))*24</f>
        <v>0</v>
      </c>
      <c r="R46" s="55">
        <f>(IF(COUNTIF(JF,Horaires356731011[[#This Row],[Date]]),MAX(0,MIN(fin_dimJF,Horaires356731011[[#This Row],[Fin corrigée si nuit]])-MAX(deb_dimJF,Horaires356731011[[#This Row],[début]])),0)+IF(COUNTIF(JF,Horaires356731011[[#This Row],[Date]]+1),MAX(0,Horaires356731011[[#This Row],[Fin corrigée si nuit]]-(1+deb_dimJF)),0))*24</f>
        <v>0</v>
      </c>
      <c r="S46" s="55">
        <f>(IF(COUNTIF(JF,Horaires356731011[[#This Row],[Date]]),MAX(0,MIN(fin_dimJF,Horaires356731011[[#This Row],[Fin corrigée si nuit]])-MAX(deb_dimJF,Horaires356731011[[#This Row],[début]])),0)+IF(COUNTIF(JF,Horaires356731011[[#This Row],[Date]]+1),MAX(0,Horaires356731011[[#This Row],[Fin corrigée si nuit]]-(1+deb_dimJF)),0))*24-
(IF(COUNTIF(JF,Horaires356731011[[#This Row],[Date]]),MAX(0,MIN(fin_dimJF,Horaires356731011[[#This Row],[PNP Fin corrigée]])-MAX(deb_dimJF,Horaires356731011[[#This Row],[PNP Début corrigé]])),0)+IF(COUNTIF(JF,Horaires356731011[[#This Row],[Date]]+1),MAX(0,Horaires356731011[[#This Row],[PNP Fin corrigée]]-(1+deb_dimJF)),0))*24</f>
        <v>0</v>
      </c>
    </row>
    <row r="47" spans="1:19" x14ac:dyDescent="0.35">
      <c r="A47" s="5"/>
      <c r="B47" s="1"/>
      <c r="C47" s="2"/>
      <c r="D47" s="2"/>
      <c r="E47" s="3"/>
      <c r="F47" s="3"/>
      <c r="G47" s="3"/>
      <c r="H47" s="3"/>
      <c r="I47" s="51">
        <f>0.1*(Horaires356731011[[#This Row],[Heures de nuit]]+Horaires356731011[[#This Row],[heures jour dimanche]]+Horaires356731011[[#This Row],[heures jour fériés]])</f>
        <v>0</v>
      </c>
      <c r="J47" s="52">
        <f>(MOD(Horaires356731011[[#This Row],[Fin]]-Horaires356731011[[#This Row],[début]],1)-MOD(Horaires356731011[[#This Row],[PNP Fin]]-Horaires356731011[[#This Row],[PNP Début]],1))*24</f>
        <v>0</v>
      </c>
      <c r="K47" s="53">
        <f>IF(Horaires356731011[[#This Row],[PNP Début]]=0,0,IF(Horaires356731011[[#This Row],[PNP Début]]&lt;Horaires356731011[[#This Row],[début]],1,0)+Horaires356731011[[#This Row],[PNP Début]])</f>
        <v>0</v>
      </c>
      <c r="L47" s="54">
        <f>IF(Horaires356731011[[#This Row],[PNP Fin]]=0,0,IF(Horaires356731011[[#This Row],[PNP Fin]]&lt;Horaires356731011[[#This Row],[début]],1,0)+Horaires356731011[[#This Row],[PNP Fin]])</f>
        <v>0</v>
      </c>
      <c r="M47" s="54">
        <f>IF(Horaires356731011[[#This Row],[Fin]]&lt;Horaires356731011[[#This Row],[début]],1,0)+Horaires356731011[[#This Row],[Fin]]</f>
        <v>0</v>
      </c>
      <c r="N47" s="35">
        <f>IF(Horaires356731011[[#This Row],[Fin]]&lt;Horaires356731011[[#This Row],[début]],MAX(0,MIN(Horaires356731011[[#This Row],[Fin corrigée si nuit]],fin_nuit)-MAX(Horaires356731011[[#This Row],[début]],deb_nuit))*24,(MAX(deb_nuit,Horaires356731011[[#This Row],[Fin]])-MAX(deb_nuit,Horaires356731011[[#This Row],[début]])+MAX(MIN(fin_nuit-1,Horaires356731011[[#This Row],[Fin]])-MIN(fin_nuit-1,Horaires356731011[[#This Row],[début]]),0))*24)</f>
        <v>0</v>
      </c>
      <c r="O47" s="55">
        <f>(MAX(0,MIN(Horaires356731011[[#This Row],[Fin corrigée si nuit]],fin_nuit)-MAX(Horaires356731011[[#This Row],[début]],deb_nuit))-IF(Horaires356731011[[#This Row],[PNP Début]]=0,0,MIN(Horaires356731011[[#This Row],[PNP Fin corrigée]],fin_nuit)-MAX(Horaires356731011[[#This Row],[PNP Début corrigé]],deb_nuit)))*24</f>
        <v>0</v>
      </c>
      <c r="P47" s="55">
        <f>(IF(WEEKDAY(Horaires356731011[[#This Row],[Date]],2)=7,MAX(0,MIN(fin_dimJF,Horaires356731011[[#This Row],[Fin corrigée si nuit]])-MAX(deb_dimJF,Horaires356731011[[#This Row],[début]])),0)+IF(WEEKDAY(Horaires356731011[[#This Row],[Date]],2)=6,MAX(0,Horaires356731011[[#This Row],[Fin corrigée si nuit]]-(1+deb_dimJF)),0))*24</f>
        <v>0</v>
      </c>
      <c r="Q47" s="55">
        <f>(IF(WEEKDAY(Horaires356731011[[#This Row],[Date]],2)=7,MAX(0,MIN(fin_dimJF,Horaires356731011[[#This Row],[Fin corrigée si nuit]])-MAX(deb_dimJF,Horaires356731011[[#This Row],[début]])),0)+IF(WEEKDAY(Horaires356731011[[#This Row],[Date]],2)=6,MAX(0,Horaires356731011[[#This Row],[Fin corrigée si nuit]]-(1+deb_dimJF)),0))*24-
(IF(WEEKDAY(Horaires356731011[[#This Row],[Date]],2)=7,MAX(0,MIN(fin_dimJF,Horaires356731011[[#This Row],[PNP Fin corrigée]])-MAX(deb_dimJF,Horaires356731011[[#This Row],[PNP Début corrigé]])),0)+IF(WEEKDAY(Horaires356731011[[#This Row],[Date]],2)=6,MAX(0,Horaires356731011[[#This Row],[PNP Fin corrigée]]-(1+deb_dimJF)),0))*24</f>
        <v>0</v>
      </c>
      <c r="R47" s="55">
        <f>(IF(COUNTIF(JF,Horaires356731011[[#This Row],[Date]]),MAX(0,MIN(fin_dimJF,Horaires356731011[[#This Row],[Fin corrigée si nuit]])-MAX(deb_dimJF,Horaires356731011[[#This Row],[début]])),0)+IF(COUNTIF(JF,Horaires356731011[[#This Row],[Date]]+1),MAX(0,Horaires356731011[[#This Row],[Fin corrigée si nuit]]-(1+deb_dimJF)),0))*24</f>
        <v>0</v>
      </c>
      <c r="S47" s="55">
        <f>(IF(COUNTIF(JF,Horaires356731011[[#This Row],[Date]]),MAX(0,MIN(fin_dimJF,Horaires356731011[[#This Row],[Fin corrigée si nuit]])-MAX(deb_dimJF,Horaires356731011[[#This Row],[début]])),0)+IF(COUNTIF(JF,Horaires356731011[[#This Row],[Date]]+1),MAX(0,Horaires356731011[[#This Row],[Fin corrigée si nuit]]-(1+deb_dimJF)),0))*24-
(IF(COUNTIF(JF,Horaires356731011[[#This Row],[Date]]),MAX(0,MIN(fin_dimJF,Horaires356731011[[#This Row],[PNP Fin corrigée]])-MAX(deb_dimJF,Horaires356731011[[#This Row],[PNP Début corrigé]])),0)+IF(COUNTIF(JF,Horaires356731011[[#This Row],[Date]]+1),MAX(0,Horaires356731011[[#This Row],[PNP Fin corrigée]]-(1+deb_dimJF)),0))*24</f>
        <v>0</v>
      </c>
    </row>
    <row r="48" spans="1:19" x14ac:dyDescent="0.35">
      <c r="A48" s="5"/>
      <c r="B48" s="1"/>
      <c r="C48" s="2"/>
      <c r="D48" s="2"/>
      <c r="E48" s="3"/>
      <c r="F48" s="3"/>
      <c r="G48" s="3"/>
      <c r="H48" s="3"/>
      <c r="I48" s="51">
        <f>0.1*(Horaires356731011[[#This Row],[Heures de nuit]]+Horaires356731011[[#This Row],[heures jour dimanche]]+Horaires356731011[[#This Row],[heures jour fériés]])</f>
        <v>0</v>
      </c>
      <c r="J48" s="52">
        <f>(MOD(Horaires356731011[[#This Row],[Fin]]-Horaires356731011[[#This Row],[début]],1)-MOD(Horaires356731011[[#This Row],[PNP Fin]]-Horaires356731011[[#This Row],[PNP Début]],1))*24</f>
        <v>0</v>
      </c>
      <c r="K48" s="53">
        <f>IF(Horaires356731011[[#This Row],[PNP Début]]=0,0,IF(Horaires356731011[[#This Row],[PNP Début]]&lt;Horaires356731011[[#This Row],[début]],1,0)+Horaires356731011[[#This Row],[PNP Début]])</f>
        <v>0</v>
      </c>
      <c r="L48" s="54">
        <f>IF(Horaires356731011[[#This Row],[PNP Fin]]=0,0,IF(Horaires356731011[[#This Row],[PNP Fin]]&lt;Horaires356731011[[#This Row],[début]],1,0)+Horaires356731011[[#This Row],[PNP Fin]])</f>
        <v>0</v>
      </c>
      <c r="M48" s="54">
        <f>IF(Horaires356731011[[#This Row],[Fin]]&lt;Horaires356731011[[#This Row],[début]],1,0)+Horaires356731011[[#This Row],[Fin]]</f>
        <v>0</v>
      </c>
      <c r="N48" s="35">
        <f>IF(Horaires356731011[[#This Row],[Fin]]&lt;Horaires356731011[[#This Row],[début]],MAX(0,MIN(Horaires356731011[[#This Row],[Fin corrigée si nuit]],fin_nuit)-MAX(Horaires356731011[[#This Row],[début]],deb_nuit))*24,(MAX(deb_nuit,Horaires356731011[[#This Row],[Fin]])-MAX(deb_nuit,Horaires356731011[[#This Row],[début]])+MAX(MIN(fin_nuit-1,Horaires356731011[[#This Row],[Fin]])-MIN(fin_nuit-1,Horaires356731011[[#This Row],[début]]),0))*24)</f>
        <v>0</v>
      </c>
      <c r="O48" s="55">
        <f>(MAX(0,MIN(Horaires356731011[[#This Row],[Fin corrigée si nuit]],fin_nuit)-MAX(Horaires356731011[[#This Row],[début]],deb_nuit))-IF(Horaires356731011[[#This Row],[PNP Début]]=0,0,MIN(Horaires356731011[[#This Row],[PNP Fin corrigée]],fin_nuit)-MAX(Horaires356731011[[#This Row],[PNP Début corrigé]],deb_nuit)))*24</f>
        <v>0</v>
      </c>
      <c r="P48" s="55">
        <f>(IF(WEEKDAY(Horaires356731011[[#This Row],[Date]],2)=7,MAX(0,MIN(fin_dimJF,Horaires356731011[[#This Row],[Fin corrigée si nuit]])-MAX(deb_dimJF,Horaires356731011[[#This Row],[début]])),0)+IF(WEEKDAY(Horaires356731011[[#This Row],[Date]],2)=6,MAX(0,Horaires356731011[[#This Row],[Fin corrigée si nuit]]-(1+deb_dimJF)),0))*24</f>
        <v>0</v>
      </c>
      <c r="Q48" s="55">
        <f>(IF(WEEKDAY(Horaires356731011[[#This Row],[Date]],2)=7,MAX(0,MIN(fin_dimJF,Horaires356731011[[#This Row],[Fin corrigée si nuit]])-MAX(deb_dimJF,Horaires356731011[[#This Row],[début]])),0)+IF(WEEKDAY(Horaires356731011[[#This Row],[Date]],2)=6,MAX(0,Horaires356731011[[#This Row],[Fin corrigée si nuit]]-(1+deb_dimJF)),0))*24-
(IF(WEEKDAY(Horaires356731011[[#This Row],[Date]],2)=7,MAX(0,MIN(fin_dimJF,Horaires356731011[[#This Row],[PNP Fin corrigée]])-MAX(deb_dimJF,Horaires356731011[[#This Row],[PNP Début corrigé]])),0)+IF(WEEKDAY(Horaires356731011[[#This Row],[Date]],2)=6,MAX(0,Horaires356731011[[#This Row],[PNP Fin corrigée]]-(1+deb_dimJF)),0))*24</f>
        <v>0</v>
      </c>
      <c r="R48" s="55">
        <f>(IF(COUNTIF(JF,Horaires356731011[[#This Row],[Date]]),MAX(0,MIN(fin_dimJF,Horaires356731011[[#This Row],[Fin corrigée si nuit]])-MAX(deb_dimJF,Horaires356731011[[#This Row],[début]])),0)+IF(COUNTIF(JF,Horaires356731011[[#This Row],[Date]]+1),MAX(0,Horaires356731011[[#This Row],[Fin corrigée si nuit]]-(1+deb_dimJF)),0))*24</f>
        <v>0</v>
      </c>
      <c r="S48" s="55">
        <f>(IF(COUNTIF(JF,Horaires356731011[[#This Row],[Date]]),MAX(0,MIN(fin_dimJF,Horaires356731011[[#This Row],[Fin corrigée si nuit]])-MAX(deb_dimJF,Horaires356731011[[#This Row],[début]])),0)+IF(COUNTIF(JF,Horaires356731011[[#This Row],[Date]]+1),MAX(0,Horaires356731011[[#This Row],[Fin corrigée si nuit]]-(1+deb_dimJF)),0))*24-
(IF(COUNTIF(JF,Horaires356731011[[#This Row],[Date]]),MAX(0,MIN(fin_dimJF,Horaires356731011[[#This Row],[PNP Fin corrigée]])-MAX(deb_dimJF,Horaires356731011[[#This Row],[PNP Début corrigé]])),0)+IF(COUNTIF(JF,Horaires356731011[[#This Row],[Date]]+1),MAX(0,Horaires356731011[[#This Row],[PNP Fin corrigée]]-(1+deb_dimJF)),0))*24</f>
        <v>0</v>
      </c>
    </row>
    <row r="49" spans="1:19" ht="15" thickBot="1" x14ac:dyDescent="0.4">
      <c r="A49" s="5"/>
      <c r="B49" s="1"/>
      <c r="C49" s="2"/>
      <c r="D49" s="2"/>
      <c r="E49" s="3"/>
      <c r="F49" s="3"/>
      <c r="G49" s="3"/>
      <c r="H49" s="3"/>
      <c r="I49" s="51">
        <f>0.1*(Horaires356731011[[#This Row],[Heures de nuit]]+Horaires356731011[[#This Row],[heures jour dimanche]]+Horaires356731011[[#This Row],[heures jour fériés]])</f>
        <v>0</v>
      </c>
      <c r="J49" s="52">
        <f>(MOD(Horaires356731011[[#This Row],[Fin]]-Horaires356731011[[#This Row],[début]],1)-MOD(Horaires356731011[[#This Row],[PNP Fin]]-Horaires356731011[[#This Row],[PNP Début]],1))*24</f>
        <v>0</v>
      </c>
      <c r="K49" s="53">
        <f>IF(Horaires356731011[[#This Row],[PNP Début]]=0,0,IF(Horaires356731011[[#This Row],[PNP Début]]&lt;Horaires356731011[[#This Row],[début]],1,0)+Horaires356731011[[#This Row],[PNP Début]])</f>
        <v>0</v>
      </c>
      <c r="L49" s="54">
        <f>IF(Horaires356731011[[#This Row],[PNP Fin]]=0,0,IF(Horaires356731011[[#This Row],[PNP Fin]]&lt;Horaires356731011[[#This Row],[début]],1,0)+Horaires356731011[[#This Row],[PNP Fin]])</f>
        <v>0</v>
      </c>
      <c r="M49" s="54">
        <f>IF(Horaires356731011[[#This Row],[Fin]]&lt;Horaires356731011[[#This Row],[début]],1,0)+Horaires356731011[[#This Row],[Fin]]</f>
        <v>0</v>
      </c>
      <c r="N49" s="35">
        <f>IF(Horaires356731011[[#This Row],[Fin]]&lt;Horaires356731011[[#This Row],[début]],MAX(0,MIN(Horaires356731011[[#This Row],[Fin corrigée si nuit]],fin_nuit)-MAX(Horaires356731011[[#This Row],[début]],deb_nuit))*24,(MAX(deb_nuit,Horaires356731011[[#This Row],[Fin]])-MAX(deb_nuit,Horaires356731011[[#This Row],[début]])+MAX(MIN(fin_nuit-1,Horaires356731011[[#This Row],[Fin]])-MIN(fin_nuit-1,Horaires356731011[[#This Row],[début]]),0))*24)</f>
        <v>0</v>
      </c>
      <c r="O49" s="55">
        <f>(MAX(0,MIN(Horaires356731011[[#This Row],[Fin corrigée si nuit]],fin_nuit)-MAX(Horaires356731011[[#This Row],[début]],deb_nuit))-IF(Horaires356731011[[#This Row],[PNP Début]]=0,0,MIN(Horaires356731011[[#This Row],[PNP Fin corrigée]],fin_nuit)-MAX(Horaires356731011[[#This Row],[PNP Début corrigé]],deb_nuit)))*24</f>
        <v>0</v>
      </c>
      <c r="P49" s="55">
        <f>(IF(WEEKDAY(Horaires356731011[[#This Row],[Date]],2)=7,MAX(0,MIN(fin_dimJF,Horaires356731011[[#This Row],[Fin corrigée si nuit]])-MAX(deb_dimJF,Horaires356731011[[#This Row],[début]])),0)+IF(WEEKDAY(Horaires356731011[[#This Row],[Date]],2)=6,MAX(0,Horaires356731011[[#This Row],[Fin corrigée si nuit]]-(1+deb_dimJF)),0))*24</f>
        <v>0</v>
      </c>
      <c r="Q49" s="55">
        <f>(IF(WEEKDAY(Horaires356731011[[#This Row],[Date]],2)=7,MAX(0,MIN(fin_dimJF,Horaires356731011[[#This Row],[Fin corrigée si nuit]])-MAX(deb_dimJF,Horaires356731011[[#This Row],[début]])),0)+IF(WEEKDAY(Horaires356731011[[#This Row],[Date]],2)=6,MAX(0,Horaires356731011[[#This Row],[Fin corrigée si nuit]]-(1+deb_dimJF)),0))*24-
(IF(WEEKDAY(Horaires356731011[[#This Row],[Date]],2)=7,MAX(0,MIN(fin_dimJF,Horaires356731011[[#This Row],[PNP Fin corrigée]])-MAX(deb_dimJF,Horaires356731011[[#This Row],[PNP Début corrigé]])),0)+IF(WEEKDAY(Horaires356731011[[#This Row],[Date]],2)=6,MAX(0,Horaires356731011[[#This Row],[PNP Fin corrigée]]-(1+deb_dimJF)),0))*24</f>
        <v>0</v>
      </c>
      <c r="R49" s="55">
        <f>(IF(COUNTIF(JF,Horaires356731011[[#This Row],[Date]]),MAX(0,MIN(fin_dimJF,Horaires356731011[[#This Row],[Fin corrigée si nuit]])-MAX(deb_dimJF,Horaires356731011[[#This Row],[début]])),0)+IF(COUNTIF(JF,Horaires356731011[[#This Row],[Date]]+1),MAX(0,Horaires356731011[[#This Row],[Fin corrigée si nuit]]-(1+deb_dimJF)),0))*24</f>
        <v>0</v>
      </c>
      <c r="S49" s="55">
        <f>(IF(COUNTIF(JF,Horaires356731011[[#This Row],[Date]]),MAX(0,MIN(fin_dimJF,Horaires356731011[[#This Row],[Fin corrigée si nuit]])-MAX(deb_dimJF,Horaires356731011[[#This Row],[début]])),0)+IF(COUNTIF(JF,Horaires356731011[[#This Row],[Date]]+1),MAX(0,Horaires356731011[[#This Row],[Fin corrigée si nuit]]-(1+deb_dimJF)),0))*24-
(IF(COUNTIF(JF,Horaires356731011[[#This Row],[Date]]),MAX(0,MIN(fin_dimJF,Horaires356731011[[#This Row],[PNP Fin corrigée]])-MAX(deb_dimJF,Horaires356731011[[#This Row],[PNP Début corrigé]])),0)+IF(COUNTIF(JF,Horaires356731011[[#This Row],[Date]]+1),MAX(0,Horaires356731011[[#This Row],[PNP Fin corrigée]]-(1+deb_dimJF)),0))*24</f>
        <v>0</v>
      </c>
    </row>
    <row r="50" spans="1:19" ht="16" thickBot="1" x14ac:dyDescent="0.4">
      <c r="A50" s="56"/>
      <c r="B50" s="19"/>
      <c r="C50" s="19"/>
      <c r="D50" s="19"/>
      <c r="E50" s="113" t="s">
        <v>29</v>
      </c>
      <c r="F50" s="114"/>
      <c r="G50" s="114"/>
      <c r="H50" s="115"/>
      <c r="I50" s="57">
        <f>SUM(Horaires356731011[Majoration])</f>
        <v>0</v>
      </c>
      <c r="J50" s="58">
        <f>SUM(Horaires356731011[Heures totales payées])</f>
        <v>0</v>
      </c>
      <c r="K50" s="19"/>
      <c r="L50" s="19"/>
      <c r="M50" s="19"/>
      <c r="N50" s="19"/>
      <c r="O50" s="19"/>
      <c r="P50" s="19"/>
      <c r="Q50" s="19"/>
      <c r="R50" s="19"/>
      <c r="S50" s="19"/>
    </row>
    <row r="51" spans="1:19" ht="17.399999999999999" customHeight="1" x14ac:dyDescent="0.35">
      <c r="A51" s="116" t="s">
        <v>30</v>
      </c>
      <c r="B51" s="116"/>
      <c r="C51" s="116"/>
      <c r="D51" s="116"/>
      <c r="E51" s="19"/>
      <c r="F51" s="19"/>
      <c r="G51" s="117" t="s">
        <v>31</v>
      </c>
      <c r="H51" s="117"/>
      <c r="I51" s="117"/>
      <c r="J51" s="117"/>
      <c r="K51" s="19"/>
      <c r="L51" s="19"/>
      <c r="M51" s="19"/>
      <c r="N51" s="19"/>
      <c r="O51" s="19"/>
      <c r="P51" s="19"/>
      <c r="Q51" s="19"/>
      <c r="R51" s="19"/>
      <c r="S51" s="19"/>
    </row>
    <row r="52" spans="1:19" x14ac:dyDescent="0.35">
      <c r="A52" s="118"/>
      <c r="B52" s="119"/>
      <c r="C52" s="119"/>
      <c r="D52" s="120"/>
      <c r="E52" s="56"/>
      <c r="F52" s="19"/>
      <c r="G52" s="118"/>
      <c r="H52" s="119"/>
      <c r="I52" s="119"/>
      <c r="J52" s="119"/>
      <c r="K52" s="19"/>
      <c r="L52" s="19"/>
      <c r="M52" s="19"/>
      <c r="N52" s="19"/>
      <c r="O52" s="19"/>
      <c r="P52" s="19"/>
      <c r="Q52" s="19"/>
      <c r="R52" s="19"/>
      <c r="S52" s="19"/>
    </row>
    <row r="53" spans="1:19" x14ac:dyDescent="0.35">
      <c r="A53" s="121"/>
      <c r="B53" s="122"/>
      <c r="C53" s="122"/>
      <c r="D53" s="123"/>
      <c r="E53" s="19"/>
      <c r="F53" s="19"/>
      <c r="G53" s="121"/>
      <c r="H53" s="122"/>
      <c r="I53" s="122"/>
      <c r="J53" s="122"/>
      <c r="K53" s="19"/>
      <c r="L53" s="19"/>
      <c r="M53" s="19"/>
      <c r="N53" s="19"/>
      <c r="O53" s="19"/>
      <c r="P53" s="19"/>
      <c r="Q53" s="19"/>
      <c r="R53" s="19"/>
      <c r="S53" s="19"/>
    </row>
    <row r="54" spans="1:19" ht="7.75" customHeight="1" x14ac:dyDescent="0.35">
      <c r="A54" s="124"/>
      <c r="B54" s="125"/>
      <c r="C54" s="125"/>
      <c r="D54" s="126"/>
      <c r="E54" s="56"/>
      <c r="F54" s="19"/>
      <c r="G54" s="124"/>
      <c r="H54" s="125"/>
      <c r="I54" s="125"/>
      <c r="J54" s="125"/>
      <c r="K54" s="19"/>
      <c r="L54" s="19"/>
      <c r="M54" s="19"/>
      <c r="N54" s="19"/>
      <c r="O54" s="19"/>
      <c r="P54" s="19"/>
      <c r="Q54" s="19"/>
      <c r="R54" s="19"/>
      <c r="S54" s="19"/>
    </row>
    <row r="55" spans="1:19" x14ac:dyDescent="0.35">
      <c r="A55" s="56"/>
      <c r="B55" s="19"/>
      <c r="C55" s="19"/>
      <c r="D55" s="19"/>
      <c r="E55" s="19"/>
      <c r="F55" s="19"/>
      <c r="G55" s="19"/>
      <c r="H55" s="19"/>
      <c r="I55" s="19"/>
      <c r="J55" s="62"/>
      <c r="K55" s="19"/>
      <c r="L55" s="19"/>
      <c r="M55" s="19"/>
      <c r="N55" s="19"/>
      <c r="O55" s="19"/>
      <c r="P55" s="19"/>
      <c r="Q55" s="19"/>
      <c r="R55" s="19"/>
      <c r="S55" s="19"/>
    </row>
    <row r="56" spans="1:19" x14ac:dyDescent="0.35">
      <c r="A56" s="19"/>
      <c r="B56" s="19"/>
      <c r="C56" s="19"/>
      <c r="D56" s="19"/>
      <c r="E56" s="19"/>
      <c r="F56" s="19"/>
      <c r="G56" s="19"/>
      <c r="H56" s="19"/>
      <c r="I56" s="19"/>
      <c r="J56" s="20"/>
      <c r="K56" s="19"/>
      <c r="L56" s="19"/>
      <c r="M56" s="19"/>
      <c r="N56" s="19"/>
      <c r="O56" s="19"/>
      <c r="P56" s="19"/>
      <c r="Q56" s="19"/>
      <c r="R56" s="19"/>
      <c r="S56" s="19"/>
    </row>
    <row r="57" spans="1:19" x14ac:dyDescent="0.35">
      <c r="A57" s="19"/>
      <c r="B57" s="19"/>
      <c r="C57" s="19"/>
      <c r="D57" s="19"/>
      <c r="E57" s="19"/>
      <c r="F57" s="19"/>
      <c r="G57" s="19"/>
      <c r="H57" s="19"/>
      <c r="I57" s="19"/>
      <c r="J57" s="20"/>
      <c r="K57" s="19"/>
      <c r="L57" s="19"/>
      <c r="M57" s="19"/>
      <c r="N57" s="19"/>
      <c r="O57" s="19"/>
      <c r="P57" s="19"/>
      <c r="Q57" s="19"/>
      <c r="R57" s="19"/>
      <c r="S57" s="19"/>
    </row>
    <row r="58" spans="1:19" x14ac:dyDescent="0.35">
      <c r="A58" s="19"/>
      <c r="B58" s="19"/>
      <c r="C58" s="19"/>
      <c r="D58" s="19"/>
      <c r="E58" s="19"/>
      <c r="F58" s="19"/>
      <c r="G58" s="19"/>
      <c r="H58" s="19"/>
      <c r="I58" s="19"/>
      <c r="J58" s="20"/>
      <c r="K58" s="19"/>
      <c r="L58" s="19"/>
      <c r="M58" s="19"/>
      <c r="N58" s="19"/>
      <c r="O58" s="19"/>
      <c r="P58" s="19"/>
      <c r="Q58" s="19"/>
      <c r="R58" s="19"/>
      <c r="S58" s="19"/>
    </row>
    <row r="59" spans="1:19" x14ac:dyDescent="0.35">
      <c r="A59" s="19"/>
      <c r="B59" s="19"/>
      <c r="C59" s="19"/>
      <c r="D59" s="19"/>
      <c r="E59" s="19"/>
      <c r="F59" s="19"/>
      <c r="G59" s="19"/>
      <c r="H59" s="19"/>
      <c r="I59" s="19"/>
      <c r="J59" s="20"/>
      <c r="K59" s="19"/>
      <c r="L59" s="19"/>
      <c r="M59" s="19"/>
      <c r="N59" s="19"/>
      <c r="O59" s="19"/>
      <c r="P59" s="19"/>
      <c r="Q59" s="19"/>
      <c r="R59" s="19"/>
      <c r="S59" s="19"/>
    </row>
    <row r="60" spans="1:19" x14ac:dyDescent="0.35">
      <c r="A60" s="19"/>
      <c r="B60" s="19"/>
      <c r="C60" s="19"/>
      <c r="D60" s="19"/>
      <c r="E60" s="19"/>
      <c r="F60" s="19"/>
      <c r="G60" s="19"/>
      <c r="H60" s="19"/>
      <c r="I60" s="19"/>
      <c r="J60" s="20"/>
      <c r="K60" s="19"/>
      <c r="L60" s="19"/>
      <c r="M60" s="19"/>
      <c r="N60" s="19"/>
      <c r="O60" s="19"/>
      <c r="P60" s="19"/>
      <c r="Q60" s="19"/>
      <c r="R60" s="19"/>
      <c r="S60" s="19"/>
    </row>
  </sheetData>
  <sheetProtection selectLockedCells="1"/>
  <mergeCells count="19">
    <mergeCell ref="E50:H50"/>
    <mergeCell ref="A51:D51"/>
    <mergeCell ref="G51:J51"/>
    <mergeCell ref="A52:D54"/>
    <mergeCell ref="G52:J54"/>
    <mergeCell ref="A1:B2"/>
    <mergeCell ref="A3:J4"/>
    <mergeCell ref="D5:F5"/>
    <mergeCell ref="G5:H5"/>
    <mergeCell ref="J9:J11"/>
    <mergeCell ref="C10:C11"/>
    <mergeCell ref="D10:D11"/>
    <mergeCell ref="E10:F10"/>
    <mergeCell ref="G10:H10"/>
    <mergeCell ref="A9:A11"/>
    <mergeCell ref="B9:B11"/>
    <mergeCell ref="C9:D9"/>
    <mergeCell ref="E9:H9"/>
    <mergeCell ref="I9:I11"/>
  </mergeCells>
  <dataValidations count="3">
    <dataValidation allowBlank="1" showInputMessage="1" showErrorMessage="1" error="Tapez les heures sous le format_x000a_00:00" sqref="K12:N49"/>
    <dataValidation type="time" allowBlank="1" showInputMessage="1" showErrorMessage="1" error="Tapez les heures sous le format_x000a_00:00" sqref="C13:H49">
      <formula1>0</formula1>
      <formula2>0.999305555555556</formula2>
    </dataValidation>
    <dataValidation type="date" operator="greaterThan" allowBlank="1" showInputMessage="1" showErrorMessage="1" error="Tapez le mois sous le format suivant_x000a_09/17" promptTitle="Mois du relevé" sqref="I5:J5">
      <formula1>42736</formula1>
    </dataValidation>
  </dataValidations>
  <printOptions horizontalCentered="1"/>
  <pageMargins left="0" right="0" top="0" bottom="0" header="0" footer="0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15361" r:id="rId4" name="CommandButton1">
          <controlPr defaultSize="0" print="0" autoLine="0" r:id="rId5">
            <anchor moveWithCells="1">
              <from>
                <xdr:col>19</xdr:col>
                <xdr:colOff>0</xdr:colOff>
                <xdr:row>0</xdr:row>
                <xdr:rowOff>165100</xdr:rowOff>
              </from>
              <to>
                <xdr:col>20</xdr:col>
                <xdr:colOff>31750</xdr:colOff>
                <xdr:row>4</xdr:row>
                <xdr:rowOff>50800</xdr:rowOff>
              </to>
            </anchor>
          </controlPr>
        </control>
      </mc:Choice>
      <mc:Fallback>
        <control shapeId="15361" r:id="rId4" name="CommandButton1"/>
      </mc:Fallback>
    </mc:AlternateContent>
  </controls>
  <tableParts count="1">
    <tablePart r:id="rId6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15</vt:i4>
      </vt:variant>
      <vt:variant>
        <vt:lpstr>Plages nommées</vt:lpstr>
      </vt:variant>
      <vt:variant>
        <vt:i4>20</vt:i4>
      </vt:variant>
    </vt:vector>
  </HeadingPairs>
  <TitlesOfParts>
    <vt:vector size="35" baseType="lpstr">
      <vt:lpstr>TOTAUX ANNUEL </vt:lpstr>
      <vt:lpstr>parametres </vt:lpstr>
      <vt:lpstr>JF </vt:lpstr>
      <vt:lpstr>Janvier 18</vt:lpstr>
      <vt:lpstr>Février 18</vt:lpstr>
      <vt:lpstr>Mars 18</vt:lpstr>
      <vt:lpstr>Avril 18</vt:lpstr>
      <vt:lpstr>Mai 18</vt:lpstr>
      <vt:lpstr>Juin 18</vt:lpstr>
      <vt:lpstr>Juillet 18</vt:lpstr>
      <vt:lpstr>Août 18</vt:lpstr>
      <vt:lpstr>Septembre 18</vt:lpstr>
      <vt:lpstr>Octobre 18</vt:lpstr>
      <vt:lpstr>Novembre 18</vt:lpstr>
      <vt:lpstr>Décembre 18</vt:lpstr>
      <vt:lpstr>deb_dimJF</vt:lpstr>
      <vt:lpstr>deb_nuit</vt:lpstr>
      <vt:lpstr>fin_dimJF</vt:lpstr>
      <vt:lpstr>fin_nuit</vt:lpstr>
      <vt:lpstr>JF</vt:lpstr>
      <vt:lpstr>Maladie</vt:lpstr>
      <vt:lpstr>Services</vt:lpstr>
      <vt:lpstr>Vacances</vt:lpstr>
      <vt:lpstr>'Août 18'!Zone_d_impression</vt:lpstr>
      <vt:lpstr>'Avril 18'!Zone_d_impression</vt:lpstr>
      <vt:lpstr>'Décembre 18'!Zone_d_impression</vt:lpstr>
      <vt:lpstr>'Février 18'!Zone_d_impression</vt:lpstr>
      <vt:lpstr>'Janvier 18'!Zone_d_impression</vt:lpstr>
      <vt:lpstr>'Juillet 18'!Zone_d_impression</vt:lpstr>
      <vt:lpstr>'Juin 18'!Zone_d_impression</vt:lpstr>
      <vt:lpstr>'Mai 18'!Zone_d_impression</vt:lpstr>
      <vt:lpstr>'Mars 18'!Zone_d_impression</vt:lpstr>
      <vt:lpstr>'Novembre 18'!Zone_d_impression</vt:lpstr>
      <vt:lpstr>'Octobre 18'!Zone_d_impression</vt:lpstr>
      <vt:lpstr>'Septembre 18'!Zone_d_impression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Michel</dc:creator>
  <cp:lastModifiedBy>Michel</cp:lastModifiedBy>
  <cp:lastPrinted>2018-01-13T21:32:21Z</cp:lastPrinted>
  <dcterms:created xsi:type="dcterms:W3CDTF">2017-09-02T09:30:55Z</dcterms:created>
  <dcterms:modified xsi:type="dcterms:W3CDTF">2018-01-14T04:44:29Z</dcterms:modified>
</cp:coreProperties>
</file>