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MVT STOCKS" sheetId="1" r:id="rId1"/>
  </sheets>
  <definedNames>
    <definedName name="Fabricant">#REF!</definedName>
    <definedName name="Lieu">#REF!</definedName>
    <definedName name="OuiNon">#REF!</definedName>
    <definedName name="PlagesTeneurs">#REF!</definedName>
    <definedName name="Type">#REF!</definedName>
  </definedNames>
  <calcPr calcId="152511"/>
</workbook>
</file>

<file path=xl/calcChain.xml><?xml version="1.0" encoding="utf-8"?>
<calcChain xmlns="http://schemas.openxmlformats.org/spreadsheetml/2006/main">
  <c r="B46" i="1" l="1"/>
  <c r="R39" i="1" l="1"/>
  <c r="R38" i="1"/>
  <c r="R30" i="1"/>
  <c r="R24" i="1"/>
  <c r="R23" i="1"/>
  <c r="R20" i="1"/>
  <c r="R13" i="1"/>
  <c r="R12" i="1"/>
  <c r="R11" i="1"/>
  <c r="R8" i="1"/>
  <c r="F5" i="1" l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I29" i="1"/>
  <c r="B29" i="1"/>
  <c r="A29" i="1"/>
  <c r="I30" i="1"/>
  <c r="B30" i="1"/>
  <c r="A30" i="1"/>
  <c r="I37" i="1"/>
  <c r="B37" i="1"/>
  <c r="A37" i="1"/>
  <c r="I36" i="1"/>
  <c r="B36" i="1"/>
  <c r="A36" i="1"/>
  <c r="I35" i="1"/>
  <c r="B35" i="1"/>
  <c r="A35" i="1"/>
  <c r="I34" i="1"/>
  <c r="B34" i="1"/>
  <c r="A34" i="1"/>
  <c r="I39" i="1"/>
  <c r="B39" i="1"/>
  <c r="A39" i="1"/>
  <c r="I38" i="1"/>
  <c r="B38" i="1"/>
  <c r="A38" i="1"/>
  <c r="I33" i="1"/>
  <c r="B33" i="1"/>
  <c r="A33" i="1"/>
  <c r="I32" i="1"/>
  <c r="B32" i="1"/>
  <c r="A32" i="1"/>
  <c r="I24" i="1"/>
  <c r="B24" i="1"/>
  <c r="A24" i="1"/>
  <c r="I26" i="1"/>
  <c r="I2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5" i="1"/>
  <c r="A26" i="1"/>
  <c r="A27" i="1"/>
  <c r="A28" i="1"/>
  <c r="A31" i="1"/>
  <c r="A40" i="1"/>
  <c r="A5" i="1"/>
  <c r="I28" i="1"/>
  <c r="B28" i="1"/>
  <c r="I27" i="1"/>
  <c r="B27" i="1"/>
  <c r="B26" i="1"/>
  <c r="B25" i="1"/>
  <c r="I23" i="1"/>
  <c r="B23" i="1"/>
  <c r="M32" i="1" l="1"/>
  <c r="M34" i="1"/>
  <c r="M39" i="1"/>
  <c r="M27" i="1"/>
  <c r="M26" i="1"/>
  <c r="M36" i="1"/>
  <c r="M28" i="1"/>
  <c r="M35" i="1"/>
  <c r="M30" i="1"/>
  <c r="M29" i="1"/>
  <c r="M24" i="1"/>
  <c r="M37" i="1"/>
  <c r="M25" i="1"/>
  <c r="M38" i="1"/>
  <c r="M33" i="1"/>
  <c r="M23" i="1"/>
  <c r="I20" i="1" l="1"/>
  <c r="B20" i="1"/>
  <c r="I19" i="1"/>
  <c r="B19" i="1"/>
  <c r="I18" i="1"/>
  <c r="B18" i="1"/>
  <c r="I17" i="1"/>
  <c r="B17" i="1"/>
  <c r="I16" i="1"/>
  <c r="B16" i="1"/>
  <c r="I15" i="1"/>
  <c r="B15" i="1"/>
  <c r="M19" i="1" l="1"/>
  <c r="M16" i="1"/>
  <c r="M20" i="1"/>
  <c r="M18" i="1"/>
  <c r="M15" i="1"/>
  <c r="M17" i="1"/>
  <c r="I21" i="1"/>
  <c r="B21" i="1"/>
  <c r="I40" i="1"/>
  <c r="B40" i="1"/>
  <c r="I31" i="1"/>
  <c r="B31" i="1"/>
  <c r="M40" i="1" l="1"/>
  <c r="M31" i="1"/>
  <c r="M21" i="1"/>
  <c r="I22" i="1"/>
  <c r="B14" i="1"/>
  <c r="B22" i="1"/>
  <c r="I14" i="1"/>
  <c r="M22" i="1" l="1"/>
  <c r="M14" i="1"/>
  <c r="I13" i="1"/>
  <c r="I12" i="1"/>
  <c r="B13" i="1"/>
  <c r="B12" i="1"/>
  <c r="I11" i="1"/>
  <c r="B11" i="1"/>
  <c r="I10" i="1"/>
  <c r="B10" i="1"/>
  <c r="I9" i="1"/>
  <c r="I6" i="1"/>
  <c r="B5" i="1"/>
  <c r="B6" i="1"/>
  <c r="B7" i="1"/>
  <c r="B9" i="1"/>
  <c r="B8" i="1"/>
  <c r="I8" i="1"/>
  <c r="I7" i="1"/>
  <c r="M7" i="1" l="1"/>
  <c r="M9" i="1"/>
  <c r="M13" i="1"/>
  <c r="M10" i="1"/>
  <c r="M11" i="1"/>
  <c r="M12" i="1"/>
  <c r="M8" i="1"/>
  <c r="M6" i="1"/>
</calcChain>
</file>

<file path=xl/sharedStrings.xml><?xml version="1.0" encoding="utf-8"?>
<sst xmlns="http://schemas.openxmlformats.org/spreadsheetml/2006/main" count="65" uniqueCount="30">
  <si>
    <t>Date MAD</t>
  </si>
  <si>
    <t>Date Opération</t>
  </si>
  <si>
    <t>Lot</t>
  </si>
  <si>
    <t>Q EUP</t>
  </si>
  <si>
    <t>Np</t>
  </si>
  <si>
    <t>Nf</t>
  </si>
  <si>
    <t>Nw</t>
  </si>
  <si>
    <t>Feed</t>
  </si>
  <si>
    <t>Type</t>
  </si>
  <si>
    <t>Lieu</t>
  </si>
  <si>
    <t>SOUT</t>
  </si>
  <si>
    <t>DSTC</t>
  </si>
  <si>
    <t>STC</t>
  </si>
  <si>
    <t>42D2</t>
  </si>
  <si>
    <t>44D1</t>
  </si>
  <si>
    <t>26T3</t>
  </si>
  <si>
    <t>Mois</t>
  </si>
  <si>
    <t>35D3</t>
  </si>
  <si>
    <t>31D4</t>
  </si>
  <si>
    <t>43D2</t>
  </si>
  <si>
    <t>45D1</t>
  </si>
  <si>
    <t>ECH</t>
  </si>
  <si>
    <t>29T2</t>
  </si>
  <si>
    <t>MAD</t>
  </si>
  <si>
    <t>?</t>
  </si>
  <si>
    <t>Colonne1</t>
  </si>
  <si>
    <t>?2</t>
  </si>
  <si>
    <t>?3</t>
  </si>
  <si>
    <t>?4</t>
  </si>
  <si>
    <t>?5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</si>
</sst>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_ * #,##0_ ;_ * \-#,##0_ ;_ * &quot;-&quot;_ ;_ @_ "/>
    <numFmt numFmtId="165" formatCode="mmmm\ yyyy"/>
    <numFmt numFmtId="166" formatCode="d/mm/yyyy;@"/>
    <numFmt numFmtId="167" formatCode="dd/mm/yyyy;@"/>
  </numFmts>
  <fonts count="8" x14ac:knownFonts="1">
    <font>
      <sz val="11"/>
      <color theme="1"/>
      <name val="Verdan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Lucida Sans Unicode"/>
      <family val="2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20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</borders>
  <cellStyleXfs count="4">
    <xf numFmtId="0" fontId="0" fillId="0" borderId="0"/>
    <xf numFmtId="0" fontId="6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68">
    <xf numFmtId="0" fontId="0" fillId="0" borderId="0" xfId="0"/>
    <xf numFmtId="0" fontId="5" fillId="0" borderId="0" xfId="0" applyFont="1"/>
    <xf numFmtId="3" fontId="5" fillId="0" borderId="0" xfId="0" applyNumberFormat="1" applyFont="1"/>
    <xf numFmtId="0" fontId="5" fillId="0" borderId="0" xfId="0" applyFont="1" applyAlignment="1">
      <alignment horizontal="center"/>
    </xf>
    <xf numFmtId="2" fontId="5" fillId="0" borderId="0" xfId="0" applyNumberFormat="1" applyFont="1"/>
    <xf numFmtId="4" fontId="4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166" fontId="5" fillId="0" borderId="0" xfId="0" applyNumberFormat="1" applyFont="1" applyAlignment="1">
      <alignment horizontal="center"/>
    </xf>
    <xf numFmtId="0" fontId="5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2" fontId="5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3" fontId="5" fillId="0" borderId="0" xfId="0" applyNumberFormat="1" applyFont="1" applyBorder="1"/>
    <xf numFmtId="0" fontId="5" fillId="0" borderId="4" xfId="0" applyFont="1" applyBorder="1" applyAlignment="1">
      <alignment horizontal="center"/>
    </xf>
    <xf numFmtId="0" fontId="5" fillId="0" borderId="4" xfId="0" applyFont="1" applyBorder="1"/>
    <xf numFmtId="0" fontId="5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0" applyFont="1" applyBorder="1"/>
    <xf numFmtId="3" fontId="5" fillId="0" borderId="7" xfId="0" applyNumberFormat="1" applyFont="1" applyBorder="1"/>
    <xf numFmtId="0" fontId="0" fillId="0" borderId="0" xfId="0" applyBorder="1"/>
    <xf numFmtId="0" fontId="1" fillId="0" borderId="0" xfId="0" applyFont="1" applyBorder="1" applyAlignment="1">
      <alignment horizontal="center"/>
    </xf>
    <xf numFmtId="167" fontId="5" fillId="0" borderId="5" xfId="0" applyNumberFormat="1" applyFont="1" applyBorder="1" applyAlignment="1">
      <alignment horizontal="center"/>
    </xf>
    <xf numFmtId="167" fontId="5" fillId="0" borderId="7" xfId="0" applyNumberFormat="1" applyFont="1" applyBorder="1" applyAlignment="1">
      <alignment horizontal="center"/>
    </xf>
    <xf numFmtId="166" fontId="5" fillId="0" borderId="7" xfId="0" applyNumberFormat="1" applyFont="1" applyBorder="1" applyAlignment="1">
      <alignment horizontal="center"/>
    </xf>
    <xf numFmtId="166" fontId="2" fillId="0" borderId="7" xfId="0" applyNumberFormat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2" fontId="5" fillId="0" borderId="9" xfId="0" applyNumberFormat="1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4" fontId="5" fillId="0" borderId="9" xfId="0" applyNumberFormat="1" applyFont="1" applyBorder="1" applyAlignment="1">
      <alignment horizontal="center"/>
    </xf>
    <xf numFmtId="3" fontId="5" fillId="0" borderId="9" xfId="0" applyNumberFormat="1" applyFont="1" applyBorder="1"/>
    <xf numFmtId="2" fontId="5" fillId="0" borderId="11" xfId="0" applyNumberFormat="1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4" fontId="5" fillId="0" borderId="11" xfId="0" applyNumberFormat="1" applyFont="1" applyBorder="1" applyAlignment="1">
      <alignment horizontal="center"/>
    </xf>
    <xf numFmtId="167" fontId="5" fillId="0" borderId="8" xfId="0" applyNumberFormat="1" applyFont="1" applyBorder="1" applyAlignment="1">
      <alignment horizontal="center"/>
    </xf>
    <xf numFmtId="167" fontId="5" fillId="0" borderId="10" xfId="0" applyNumberFormat="1" applyFont="1" applyBorder="1" applyAlignment="1">
      <alignment horizontal="center"/>
    </xf>
    <xf numFmtId="0" fontId="5" fillId="0" borderId="5" xfId="0" applyFont="1" applyBorder="1"/>
    <xf numFmtId="3" fontId="5" fillId="0" borderId="12" xfId="0" applyNumberFormat="1" applyFont="1" applyBorder="1"/>
    <xf numFmtId="0" fontId="5" fillId="0" borderId="3" xfId="0" applyFont="1" applyBorder="1"/>
    <xf numFmtId="0" fontId="5" fillId="0" borderId="6" xfId="0" applyFont="1" applyBorder="1"/>
    <xf numFmtId="0" fontId="0" fillId="0" borderId="6" xfId="0" applyBorder="1"/>
    <xf numFmtId="3" fontId="5" fillId="0" borderId="6" xfId="0" applyNumberFormat="1" applyFont="1" applyBorder="1"/>
    <xf numFmtId="0" fontId="4" fillId="0" borderId="0" xfId="0" applyFont="1" applyAlignment="1">
      <alignment horizontal="right"/>
    </xf>
    <xf numFmtId="0" fontId="4" fillId="0" borderId="0" xfId="0" applyFont="1"/>
    <xf numFmtId="3" fontId="4" fillId="0" borderId="0" xfId="0" applyNumberFormat="1" applyFont="1"/>
    <xf numFmtId="3" fontId="4" fillId="0" borderId="0" xfId="0" applyNumberFormat="1" applyFont="1" applyAlignment="1">
      <alignment horizontal="right"/>
    </xf>
    <xf numFmtId="14" fontId="5" fillId="0" borderId="0" xfId="0" applyNumberFormat="1" applyFont="1" applyAlignment="1">
      <alignment horizontal="center"/>
    </xf>
    <xf numFmtId="0" fontId="5" fillId="0" borderId="0" xfId="0" applyNumberFormat="1" applyFont="1" applyAlignment="1">
      <alignment horizontal="center"/>
    </xf>
    <xf numFmtId="164" fontId="5" fillId="0" borderId="13" xfId="0" applyNumberFormat="1" applyFont="1" applyBorder="1"/>
    <xf numFmtId="164" fontId="5" fillId="0" borderId="11" xfId="0" applyNumberFormat="1" applyFont="1" applyBorder="1"/>
    <xf numFmtId="164" fontId="2" fillId="0" borderId="13" xfId="0" applyNumberFormat="1" applyFont="1" applyBorder="1"/>
    <xf numFmtId="165" fontId="5" fillId="0" borderId="5" xfId="0" applyNumberFormat="1" applyFont="1" applyBorder="1" applyAlignment="1" applyProtection="1">
      <alignment horizontal="center"/>
    </xf>
    <xf numFmtId="165" fontId="5" fillId="0" borderId="7" xfId="0" applyNumberFormat="1" applyFont="1" applyBorder="1" applyAlignment="1" applyProtection="1">
      <alignment horizontal="center"/>
    </xf>
    <xf numFmtId="0" fontId="7" fillId="2" borderId="14" xfId="0" applyFont="1" applyFill="1" applyBorder="1" applyAlignment="1">
      <alignment horizontal="center" vertical="top"/>
    </xf>
    <xf numFmtId="0" fontId="7" fillId="2" borderId="15" xfId="0" applyFont="1" applyFill="1" applyBorder="1" applyAlignment="1">
      <alignment horizontal="center" vertical="top"/>
    </xf>
    <xf numFmtId="166" fontId="7" fillId="2" borderId="14" xfId="0" applyNumberFormat="1" applyFont="1" applyFill="1" applyBorder="1" applyAlignment="1">
      <alignment horizontal="center" vertical="top" wrapText="1"/>
    </xf>
    <xf numFmtId="0" fontId="7" fillId="2" borderId="17" xfId="0" applyFont="1" applyFill="1" applyBorder="1" applyAlignment="1">
      <alignment horizontal="center" vertical="top"/>
    </xf>
    <xf numFmtId="0" fontId="7" fillId="2" borderId="16" xfId="0" applyFont="1" applyFill="1" applyBorder="1" applyAlignment="1">
      <alignment horizontal="center" vertical="top"/>
    </xf>
    <xf numFmtId="3" fontId="7" fillId="2" borderId="18" xfId="0" applyNumberFormat="1" applyFont="1" applyFill="1" applyBorder="1" applyAlignment="1">
      <alignment horizontal="center" vertical="top"/>
    </xf>
    <xf numFmtId="2" fontId="7" fillId="2" borderId="19" xfId="0" applyNumberFormat="1" applyFont="1" applyFill="1" applyBorder="1" applyAlignment="1">
      <alignment horizontal="center" vertical="top"/>
    </xf>
    <xf numFmtId="0" fontId="7" fillId="2" borderId="19" xfId="0" applyFont="1" applyFill="1" applyBorder="1" applyAlignment="1">
      <alignment horizontal="center" vertical="top"/>
    </xf>
    <xf numFmtId="4" fontId="7" fillId="2" borderId="19" xfId="0" applyNumberFormat="1" applyFont="1" applyFill="1" applyBorder="1" applyAlignment="1">
      <alignment horizontal="center" vertical="top"/>
    </xf>
    <xf numFmtId="3" fontId="7" fillId="2" borderId="19" xfId="0" applyNumberFormat="1" applyFont="1" applyFill="1" applyBorder="1" applyAlignment="1">
      <alignment horizontal="center" vertical="top"/>
    </xf>
    <xf numFmtId="0" fontId="7" fillId="2" borderId="2" xfId="0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/>
    </xf>
    <xf numFmtId="0" fontId="7" fillId="0" borderId="0" xfId="0" applyFont="1" applyAlignment="1">
      <alignment horizontal="center" vertical="top"/>
    </xf>
  </cellXfs>
  <cellStyles count="4">
    <cellStyle name="Milliers 2" xfId="3"/>
    <cellStyle name="Milliers 3" xfId="2"/>
    <cellStyle name="Normal" xfId="0" builtinId="0"/>
    <cellStyle name="Normal 2" xfId="1"/>
  </cellStyles>
  <dxfs count="5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border diagonalUp="0" diagonalDown="0">
        <left/>
        <right style="double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 * #,##0_ ;_ * \-#,##0_ ;_ * &quot;-&quot;_ ;_ @_ 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alignment horizontal="center" vertical="bottom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 * #,##0_ ;_ * \-#,##0_ ;_ * &quot;-&quot;_ ;_ @_ "/>
      <border diagonalUp="0" diagonalDown="0">
        <left/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border diagonalUp="0" diagonalDown="0">
        <left style="double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  <border diagonalUp="0" diagonalDown="0">
        <left/>
        <right style="double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double">
          <color auto="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6" formatCode="d/mm/yyyy;@"/>
      <alignment horizontal="center" vertical="bottom" textRotation="0" wrapText="0" indent="0" justifyLastLine="0" shrinkToFit="0" readingOrder="0"/>
      <border diagonalUp="0" diagonalDown="0">
        <left/>
        <right style="double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7" formatCode="dd/mm/yyyy;@"/>
      <alignment horizontal="center" vertical="bottom" textRotation="0" wrapText="0" indent="0" justifyLastLine="0" shrinkToFit="0" readingOrder="0"/>
      <border diagonalUp="0" diagonalDown="0">
        <left style="double">
          <color auto="1"/>
        </left>
        <right style="thin">
          <color auto="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mmmm\ yyyy"/>
      <alignment horizontal="center" vertical="bottom" textRotation="0" wrapText="0" indent="0" justifyLastLine="0" shrinkToFit="0" readingOrder="0"/>
      <border diagonalUp="0" diagonalDown="0">
        <left/>
        <right style="double">
          <color auto="1"/>
        </right>
        <top/>
        <bottom/>
        <vertical/>
        <horizontal/>
      </border>
      <protection locked="1" hidden="0"/>
    </dxf>
    <dxf>
      <border outline="0">
        <left style="double">
          <color auto="1"/>
        </left>
        <top style="double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bottom style="double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rgb="FFCCFFCC"/>
        </patternFill>
      </fill>
      <alignment horizontal="center" vertical="top" textRotation="0" wrapText="0" indent="0" justifyLastLine="0" shrinkToFit="0" readingOrder="0"/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CCFFCC"/>
      <color rgb="FF00CCFF"/>
      <color rgb="FF66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4:R40" totalsRowShown="0" headerRowDxfId="21" dataDxfId="19" headerRowBorderDxfId="20" tableBorderDxfId="18">
  <autoFilter ref="A4:R40"/>
  <tableColumns count="18">
    <tableColumn id="1" name="Mois" dataDxfId="17">
      <calculatedColumnFormula>IF(OR(DAY(OFFSET($C5,1,0,1,1))=0,MONTH($C5)&lt;&gt;MONTH(OFFSET($C5,1,0,1,1))),$C5,"")</calculatedColumnFormula>
    </tableColumn>
    <tableColumn id="2" name="Date MAD" dataDxfId="16">
      <calculatedColumnFormula>IF(NOT(ISBLANK($E5)),$C5,"")</calculatedColumnFormula>
    </tableColumn>
    <tableColumn id="3" name="Date Opération" dataDxfId="15"/>
    <tableColumn id="4" name="?" dataDxfId="14"/>
    <tableColumn id="5" name="Lot" dataDxfId="13"/>
    <tableColumn id="6" name="Colonne1" dataDxfId="12">
      <calculatedColumnFormula>IF(ISBLANK(E5),0,1)</calculatedColumnFormula>
    </tableColumn>
    <tableColumn id="7" name="?2" dataDxfId="11"/>
    <tableColumn id="8" name="?3" dataDxfId="10"/>
    <tableColumn id="9" name="Q EUP" dataDxfId="9"/>
    <tableColumn id="10" name="Np" dataDxfId="8"/>
    <tableColumn id="11" name="Nf" dataDxfId="7"/>
    <tableColumn id="12" name="Nw" dataDxfId="6"/>
    <tableColumn id="13" name="Feed" dataDxfId="5">
      <calculatedColumnFormula>IF(AND(NOT(ISBLANK(Eg)),NOT(ISBLANK(K5)),NOT(ISBLANK(L5))),(I5*ROUND((J5-L5)/(K5-L5),3)),"")</calculatedColumnFormula>
    </tableColumn>
    <tableColumn id="14" name="?4" dataDxfId="4"/>
    <tableColumn id="15" name="?5" dataDxfId="3"/>
    <tableColumn id="16" name="Type" dataDxfId="2"/>
    <tableColumn id="17" name="Lieu" dataDxfId="1"/>
    <tableColumn id="18" name="MAD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46"/>
  <sheetViews>
    <sheetView tabSelected="1" workbookViewId="0">
      <pane xSplit="1" ySplit="4" topLeftCell="B26" activePane="bottomRight" state="frozen"/>
      <selection pane="topRight" activeCell="B1" sqref="B1"/>
      <selection pane="bottomLeft" activeCell="A5" sqref="A5"/>
      <selection pane="bottomRight" activeCell="B46" sqref="B46"/>
    </sheetView>
  </sheetViews>
  <sheetFormatPr baseColWidth="10" defaultColWidth="11.2109375" defaultRowHeight="14.5" x14ac:dyDescent="0.35"/>
  <cols>
    <col min="1" max="1" width="11.2109375" style="3" bestFit="1" customWidth="1"/>
    <col min="2" max="2" width="11" style="3" bestFit="1" customWidth="1"/>
    <col min="3" max="3" width="14.42578125" style="7" bestFit="1" customWidth="1"/>
    <col min="4" max="4" width="4.92578125" style="3" bestFit="1" customWidth="1"/>
    <col min="5" max="5" width="6.28515625" style="3" bestFit="1" customWidth="1"/>
    <col min="6" max="6" width="10.42578125" style="3" bestFit="1" customWidth="1"/>
    <col min="7" max="8" width="5.7109375" style="1" bestFit="1" customWidth="1"/>
    <col min="9" max="9" width="8.28515625" style="2" bestFit="1" customWidth="1"/>
    <col min="10" max="10" width="6.0703125" style="10" bestFit="1" customWidth="1"/>
    <col min="11" max="11" width="5.7109375" style="3" bestFit="1" customWidth="1"/>
    <col min="12" max="12" width="6.35546875" style="11" bestFit="1" customWidth="1"/>
    <col min="13" max="13" width="7.35546875" style="2" bestFit="1" customWidth="1"/>
    <col min="14" max="15" width="5.7109375" style="1" bestFit="1" customWidth="1"/>
    <col min="16" max="16" width="7.35546875" style="3" bestFit="1" customWidth="1"/>
    <col min="17" max="17" width="6.85546875" style="3" bestFit="1" customWidth="1"/>
    <col min="18" max="18" width="7.5" bestFit="1" customWidth="1"/>
    <col min="19" max="20" width="0.92578125" customWidth="1"/>
    <col min="21" max="16384" width="11.2109375" style="1"/>
  </cols>
  <sheetData>
    <row r="2" spans="1:23" x14ac:dyDescent="0.35">
      <c r="A2" s="8"/>
      <c r="B2" s="9"/>
    </row>
    <row r="3" spans="1:23" ht="15" thickBot="1" x14ac:dyDescent="0.4"/>
    <row r="4" spans="1:23" s="67" customFormat="1" ht="15.5" thickTop="1" thickBot="1" x14ac:dyDescent="0.3">
      <c r="A4" s="55" t="s">
        <v>16</v>
      </c>
      <c r="B4" s="56" t="s">
        <v>0</v>
      </c>
      <c r="C4" s="57" t="s">
        <v>1</v>
      </c>
      <c r="D4" s="58" t="s">
        <v>24</v>
      </c>
      <c r="E4" s="59" t="s">
        <v>2</v>
      </c>
      <c r="F4" s="59" t="s">
        <v>25</v>
      </c>
      <c r="G4" s="55" t="s">
        <v>26</v>
      </c>
      <c r="H4" s="58" t="s">
        <v>27</v>
      </c>
      <c r="I4" s="60" t="s">
        <v>3</v>
      </c>
      <c r="J4" s="61" t="s">
        <v>4</v>
      </c>
      <c r="K4" s="62" t="s">
        <v>5</v>
      </c>
      <c r="L4" s="63" t="s">
        <v>6</v>
      </c>
      <c r="M4" s="64" t="s">
        <v>7</v>
      </c>
      <c r="N4" s="55" t="s">
        <v>28</v>
      </c>
      <c r="O4" s="59" t="s">
        <v>29</v>
      </c>
      <c r="P4" s="59" t="s">
        <v>8</v>
      </c>
      <c r="Q4" s="59" t="s">
        <v>9</v>
      </c>
      <c r="R4" s="59" t="s">
        <v>23</v>
      </c>
      <c r="S4" s="65"/>
      <c r="T4" s="66"/>
    </row>
    <row r="5" spans="1:23" ht="15" thickTop="1" x14ac:dyDescent="0.35">
      <c r="A5" s="53">
        <f ca="1">IF(OR(DAY(OFFSET($C5,1,0,1,1))=0,MONTH($C5)&lt;&gt;MONTH(OFFSET($C5,1,0,1,1))),$C5,"")</f>
        <v>42369</v>
      </c>
      <c r="B5" s="36" t="str">
        <f t="shared" ref="B5:B40" si="0">IF(NOT(ISBLANK($E5)),$C5,"")</f>
        <v/>
      </c>
      <c r="C5" s="22">
        <v>42369</v>
      </c>
      <c r="D5" s="26"/>
      <c r="E5" s="14"/>
      <c r="F5" s="14">
        <f t="shared" ref="F5:F40" si="1">IF(ISBLANK(E5),0,1)</f>
        <v>0</v>
      </c>
      <c r="G5" s="38"/>
      <c r="H5" s="40"/>
      <c r="I5" s="39"/>
      <c r="J5" s="29"/>
      <c r="K5" s="30"/>
      <c r="L5" s="31"/>
      <c r="M5" s="32"/>
      <c r="N5" s="38"/>
      <c r="O5" s="15"/>
      <c r="P5" s="14"/>
      <c r="Q5" s="14"/>
      <c r="R5" s="14">
        <v>0</v>
      </c>
      <c r="S5" s="15"/>
      <c r="T5" s="40"/>
      <c r="W5" s="4"/>
    </row>
    <row r="6" spans="1:23" x14ac:dyDescent="0.35">
      <c r="A6" s="54" t="str">
        <f t="shared" ref="A6:A40" ca="1" si="2">IF(OR(DAY(OFFSET($C6,1,0,1,1))=0,MONTH($C6)&lt;&gt;MONTH(OFFSET($C6,1,0,1,1))),$C6,"")</f>
        <v/>
      </c>
      <c r="B6" s="37" t="str">
        <f t="shared" si="0"/>
        <v/>
      </c>
      <c r="C6" s="23">
        <v>42377</v>
      </c>
      <c r="D6" s="27"/>
      <c r="E6" s="16"/>
      <c r="F6" s="16">
        <f t="shared" si="1"/>
        <v>0</v>
      </c>
      <c r="G6" s="19"/>
      <c r="H6" s="43"/>
      <c r="I6" s="50">
        <f>-10748</f>
        <v>-10748</v>
      </c>
      <c r="J6" s="33">
        <v>4.5</v>
      </c>
      <c r="K6" s="34">
        <v>0.71099999999999997</v>
      </c>
      <c r="L6" s="35">
        <v>0.23</v>
      </c>
      <c r="M6" s="51">
        <f>IF(AND(NOT(ISBLANK(Eg)),NOT(ISBLANK(K6)),NOT(ISBLANK(L6))),(I6*ROUND((J6-L6)/(K6-L6),3)),"")</f>
        <v>-95409.996000000014</v>
      </c>
      <c r="N6" s="19"/>
      <c r="O6" s="13"/>
      <c r="P6" s="16" t="s">
        <v>11</v>
      </c>
      <c r="Q6" s="17"/>
      <c r="R6" s="17">
        <v>0</v>
      </c>
      <c r="S6" s="18"/>
      <c r="T6" s="41"/>
    </row>
    <row r="7" spans="1:23" x14ac:dyDescent="0.35">
      <c r="A7" s="54" t="str">
        <f t="shared" ca="1" si="2"/>
        <v/>
      </c>
      <c r="B7" s="37" t="str">
        <f t="shared" si="0"/>
        <v/>
      </c>
      <c r="C7" s="23">
        <v>42377</v>
      </c>
      <c r="D7" s="27"/>
      <c r="E7" s="16"/>
      <c r="F7" s="16">
        <f t="shared" si="1"/>
        <v>0</v>
      </c>
      <c r="G7" s="19"/>
      <c r="H7" s="43"/>
      <c r="I7" s="50">
        <f>10748</f>
        <v>10748</v>
      </c>
      <c r="J7" s="33">
        <v>4.5</v>
      </c>
      <c r="K7" s="34">
        <v>0.71099999999999997</v>
      </c>
      <c r="L7" s="35">
        <v>0.3</v>
      </c>
      <c r="M7" s="51">
        <f>IF(AND(NOT(ISBLANK(Eg)),NOT(ISBLANK(K7)),NOT(ISBLANK(L7))),(I7*ROUND((J7-L7)/(K7-L7),3)),"")</f>
        <v>109833.81199999999</v>
      </c>
      <c r="N7" s="19"/>
      <c r="O7" s="13"/>
      <c r="P7" s="16" t="s">
        <v>12</v>
      </c>
      <c r="Q7" s="17"/>
      <c r="R7" s="17">
        <v>0</v>
      </c>
      <c r="S7" s="18"/>
      <c r="T7" s="41"/>
    </row>
    <row r="8" spans="1:23" x14ac:dyDescent="0.35">
      <c r="A8" s="54">
        <f t="shared" ca="1" si="2"/>
        <v>42377</v>
      </c>
      <c r="B8" s="37">
        <f t="shared" si="0"/>
        <v>42377</v>
      </c>
      <c r="C8" s="23">
        <v>42377</v>
      </c>
      <c r="D8" s="27"/>
      <c r="E8" s="16" t="s">
        <v>13</v>
      </c>
      <c r="F8" s="16">
        <f t="shared" si="1"/>
        <v>1</v>
      </c>
      <c r="G8" s="19"/>
      <c r="H8" s="43"/>
      <c r="I8" s="50">
        <f>-10748</f>
        <v>-10748</v>
      </c>
      <c r="J8" s="33">
        <v>4.5</v>
      </c>
      <c r="K8" s="34">
        <v>0.71099999999999997</v>
      </c>
      <c r="L8" s="35">
        <v>0.3</v>
      </c>
      <c r="M8" s="51">
        <f>IF(AND(NOT(ISBLANK(Eg)),NOT(ISBLANK(K8)),NOT(ISBLANK(L8))),(I8*ROUND((J8-L8)/(K8-L8),3)),"")</f>
        <v>-109833.81199999999</v>
      </c>
      <c r="N8" s="19"/>
      <c r="O8" s="13"/>
      <c r="P8" s="16" t="s">
        <v>11</v>
      </c>
      <c r="Q8" s="17"/>
      <c r="R8" s="17">
        <f>IF(ISBLANK(#REF!),0,1)</f>
        <v>1</v>
      </c>
      <c r="S8" s="18"/>
      <c r="T8" s="41"/>
      <c r="W8" s="4"/>
    </row>
    <row r="9" spans="1:23" x14ac:dyDescent="0.35">
      <c r="A9" s="54" t="str">
        <f t="shared" ca="1" si="2"/>
        <v/>
      </c>
      <c r="B9" s="37" t="str">
        <f t="shared" si="0"/>
        <v/>
      </c>
      <c r="C9" s="23">
        <v>42423</v>
      </c>
      <c r="D9" s="27"/>
      <c r="E9" s="16"/>
      <c r="F9" s="16">
        <f t="shared" si="1"/>
        <v>0</v>
      </c>
      <c r="G9" s="19"/>
      <c r="H9" s="43"/>
      <c r="I9" s="50">
        <f>-8598</f>
        <v>-8598</v>
      </c>
      <c r="J9" s="33">
        <v>4.5</v>
      </c>
      <c r="K9" s="34">
        <v>0.71099999999999997</v>
      </c>
      <c r="L9" s="35">
        <v>0.2</v>
      </c>
      <c r="M9" s="51">
        <f>IF(AND(NOT(ISBLANK(Eg)),NOT(ISBLANK(K9)),NOT(ISBLANK(L9))),(I9*ROUND((J9-L9)/(K9-L9),3)),"")</f>
        <v>-72352.17</v>
      </c>
      <c r="N9" s="19"/>
      <c r="O9" s="13"/>
      <c r="P9" s="17" t="s">
        <v>11</v>
      </c>
      <c r="Q9" s="17"/>
      <c r="R9" s="17">
        <v>0</v>
      </c>
      <c r="S9" s="18"/>
      <c r="T9" s="41"/>
    </row>
    <row r="10" spans="1:23" x14ac:dyDescent="0.35">
      <c r="A10" s="54" t="str">
        <f t="shared" ca="1" si="2"/>
        <v/>
      </c>
      <c r="B10" s="37" t="str">
        <f t="shared" si="0"/>
        <v/>
      </c>
      <c r="C10" s="23">
        <v>42423</v>
      </c>
      <c r="D10" s="27"/>
      <c r="E10" s="16"/>
      <c r="F10" s="16">
        <f t="shared" si="1"/>
        <v>0</v>
      </c>
      <c r="G10" s="19"/>
      <c r="H10" s="43"/>
      <c r="I10" s="50">
        <f>8598</f>
        <v>8598</v>
      </c>
      <c r="J10" s="33">
        <v>4.5</v>
      </c>
      <c r="K10" s="34">
        <v>0.71099999999999997</v>
      </c>
      <c r="L10" s="35">
        <v>0.3</v>
      </c>
      <c r="M10" s="51">
        <f>IF(AND(NOT(ISBLANK(Eg)),NOT(ISBLANK(K10)),NOT(ISBLANK(L10))),(I10*ROUND((J10-L10)/(K10-L10),3)),"")</f>
        <v>87862.962</v>
      </c>
      <c r="N10" s="19"/>
      <c r="O10" s="13"/>
      <c r="P10" s="16" t="s">
        <v>12</v>
      </c>
      <c r="Q10" s="17"/>
      <c r="R10" s="17">
        <v>0</v>
      </c>
      <c r="S10" s="18"/>
      <c r="T10" s="41"/>
      <c r="W10" s="4"/>
    </row>
    <row r="11" spans="1:23" x14ac:dyDescent="0.35">
      <c r="A11" s="54" t="str">
        <f t="shared" ca="1" si="2"/>
        <v/>
      </c>
      <c r="B11" s="37">
        <f t="shared" si="0"/>
        <v>42423</v>
      </c>
      <c r="C11" s="23">
        <v>42423</v>
      </c>
      <c r="D11" s="27"/>
      <c r="E11" s="16" t="s">
        <v>14</v>
      </c>
      <c r="F11" s="16">
        <f t="shared" si="1"/>
        <v>1</v>
      </c>
      <c r="G11" s="19"/>
      <c r="H11" s="43"/>
      <c r="I11" s="50">
        <f>-8598</f>
        <v>-8598</v>
      </c>
      <c r="J11" s="33">
        <v>4.5</v>
      </c>
      <c r="K11" s="34">
        <v>0.71099999999999997</v>
      </c>
      <c r="L11" s="35">
        <v>0.3</v>
      </c>
      <c r="M11" s="51">
        <f>IF(AND(NOT(ISBLANK(Eg)),NOT(ISBLANK(K11)),NOT(ISBLANK(L11))),(I11*ROUND((J11-L11)/(K11-L11),3)),"")</f>
        <v>-87862.962</v>
      </c>
      <c r="N11" s="19"/>
      <c r="O11" s="13"/>
      <c r="P11" s="16" t="s">
        <v>11</v>
      </c>
      <c r="Q11" s="17"/>
      <c r="R11" s="17">
        <f>IF(ISBLANK(#REF!),0,1)</f>
        <v>1</v>
      </c>
      <c r="S11" s="18"/>
      <c r="T11" s="41"/>
      <c r="W11" s="4"/>
    </row>
    <row r="12" spans="1:23" x14ac:dyDescent="0.35">
      <c r="A12" s="54">
        <f t="shared" ca="1" si="2"/>
        <v>42429</v>
      </c>
      <c r="B12" s="37">
        <f t="shared" si="0"/>
        <v>42429</v>
      </c>
      <c r="C12" s="23">
        <v>42429</v>
      </c>
      <c r="D12" s="27"/>
      <c r="E12" s="16" t="s">
        <v>15</v>
      </c>
      <c r="F12" s="16">
        <f t="shared" si="1"/>
        <v>1</v>
      </c>
      <c r="G12" s="19"/>
      <c r="H12" s="43"/>
      <c r="I12" s="50">
        <f>-15964</f>
        <v>-15964</v>
      </c>
      <c r="J12" s="33">
        <v>4.3499999999999996</v>
      </c>
      <c r="K12" s="34">
        <v>0.71099999999999997</v>
      </c>
      <c r="L12" s="35">
        <v>0.23</v>
      </c>
      <c r="M12" s="51">
        <f>IF(AND(NOT(ISBLANK(Eg)),NOT(ISBLANK(K12)),NOT(ISBLANK(L12))),(I12*ROUND((J12-L12)/(K12-L12),3)),"")</f>
        <v>-136731.66</v>
      </c>
      <c r="N12" s="19"/>
      <c r="O12" s="13"/>
      <c r="P12" s="16" t="s">
        <v>11</v>
      </c>
      <c r="Q12" s="17"/>
      <c r="R12" s="17">
        <f>IF(ISBLANK(#REF!),0,1)</f>
        <v>1</v>
      </c>
      <c r="S12" s="18"/>
      <c r="T12" s="41"/>
      <c r="W12" s="4"/>
    </row>
    <row r="13" spans="1:23" x14ac:dyDescent="0.35">
      <c r="A13" s="54" t="str">
        <f t="shared" ca="1" si="2"/>
        <v/>
      </c>
      <c r="B13" s="37">
        <f t="shared" si="0"/>
        <v>42430</v>
      </c>
      <c r="C13" s="23">
        <v>42430</v>
      </c>
      <c r="D13" s="27"/>
      <c r="E13" s="16" t="s">
        <v>15</v>
      </c>
      <c r="F13" s="16">
        <f t="shared" si="1"/>
        <v>1</v>
      </c>
      <c r="G13" s="19"/>
      <c r="H13" s="43"/>
      <c r="I13" s="50">
        <f>-15964</f>
        <v>-15964</v>
      </c>
      <c r="J13" s="33">
        <v>4.3499999999999996</v>
      </c>
      <c r="K13" s="34">
        <v>0.71099999999999997</v>
      </c>
      <c r="L13" s="35">
        <v>0.23</v>
      </c>
      <c r="M13" s="51">
        <f>IF(AND(NOT(ISBLANK(Eg)),NOT(ISBLANK(K13)),NOT(ISBLANK(L13))),(I13*ROUND((J13-L13)/(K13-L13),3)),"")</f>
        <v>-136731.66</v>
      </c>
      <c r="N13" s="19"/>
      <c r="O13" s="13"/>
      <c r="P13" s="16" t="s">
        <v>11</v>
      </c>
      <c r="Q13" s="17"/>
      <c r="R13" s="17">
        <f>IF(ISBLANK(#REF!),0,1)</f>
        <v>1</v>
      </c>
      <c r="S13" s="18"/>
      <c r="T13" s="41"/>
      <c r="W13" s="4"/>
    </row>
    <row r="14" spans="1:23" x14ac:dyDescent="0.35">
      <c r="A14" s="54">
        <f t="shared" ca="1" si="2"/>
        <v>42460</v>
      </c>
      <c r="B14" s="37" t="str">
        <f t="shared" si="0"/>
        <v/>
      </c>
      <c r="C14" s="24">
        <v>42460</v>
      </c>
      <c r="D14" s="27"/>
      <c r="E14" s="16"/>
      <c r="F14" s="16">
        <f t="shared" si="1"/>
        <v>0</v>
      </c>
      <c r="G14" s="19"/>
      <c r="H14" s="43"/>
      <c r="I14" s="50">
        <f>4574.565</f>
        <v>4574.5649999999996</v>
      </c>
      <c r="J14" s="33">
        <v>4.3499999999999996</v>
      </c>
      <c r="K14" s="34">
        <v>0.71099999999999997</v>
      </c>
      <c r="L14" s="35">
        <v>0.25</v>
      </c>
      <c r="M14" s="51">
        <f>IF(AND(NOT(ISBLANK(Eg)),NOT(ISBLANK(K14)),NOT(ISBLANK(L14))),(I14*ROUND((J14-L14)/(K14-L14),3)),"")</f>
        <v>40686.181109999998</v>
      </c>
      <c r="N14" s="19"/>
      <c r="O14" s="13"/>
      <c r="P14" s="16" t="s">
        <v>12</v>
      </c>
      <c r="Q14" s="17"/>
      <c r="R14" s="17">
        <v>0</v>
      </c>
      <c r="S14" s="20"/>
      <c r="T14" s="42"/>
      <c r="W14" s="4"/>
    </row>
    <row r="15" spans="1:23" x14ac:dyDescent="0.35">
      <c r="A15" s="54" t="str">
        <f t="shared" ca="1" si="2"/>
        <v/>
      </c>
      <c r="B15" s="37" t="str">
        <f t="shared" si="0"/>
        <v/>
      </c>
      <c r="C15" s="24">
        <v>42503</v>
      </c>
      <c r="D15" s="27"/>
      <c r="E15" s="16"/>
      <c r="F15" s="16">
        <f t="shared" si="1"/>
        <v>0</v>
      </c>
      <c r="G15" s="19"/>
      <c r="H15" s="43"/>
      <c r="I15" s="50">
        <f>-10000</f>
        <v>-10000</v>
      </c>
      <c r="J15" s="33">
        <v>4.25</v>
      </c>
      <c r="K15" s="34">
        <v>0.71099999999999997</v>
      </c>
      <c r="L15" s="35">
        <v>0.2</v>
      </c>
      <c r="M15" s="51">
        <f>IF(AND(NOT(ISBLANK(Eg)),NOT(ISBLANK(K15)),NOT(ISBLANK(L15))),(I15*ROUND((J15-L15)/(K15-L15),3)),"")</f>
        <v>-79260</v>
      </c>
      <c r="N15" s="19"/>
      <c r="O15" s="13"/>
      <c r="P15" s="16" t="s">
        <v>11</v>
      </c>
      <c r="Q15" s="17"/>
      <c r="R15" s="17">
        <v>0</v>
      </c>
      <c r="S15" s="20"/>
      <c r="T15" s="42"/>
      <c r="W15" s="4"/>
    </row>
    <row r="16" spans="1:23" x14ac:dyDescent="0.35">
      <c r="A16" s="54" t="str">
        <f t="shared" ca="1" si="2"/>
        <v/>
      </c>
      <c r="B16" s="37" t="str">
        <f t="shared" si="0"/>
        <v/>
      </c>
      <c r="C16" s="24">
        <v>42503</v>
      </c>
      <c r="D16" s="27"/>
      <c r="E16" s="16"/>
      <c r="F16" s="16">
        <f t="shared" si="1"/>
        <v>0</v>
      </c>
      <c r="G16" s="19"/>
      <c r="H16" s="43"/>
      <c r="I16" s="50">
        <f>10000</f>
        <v>10000</v>
      </c>
      <c r="J16" s="33">
        <v>4.25</v>
      </c>
      <c r="K16" s="34">
        <v>0.71099999999999997</v>
      </c>
      <c r="L16" s="35">
        <v>0.3</v>
      </c>
      <c r="M16" s="51">
        <f>IF(AND(NOT(ISBLANK(Eg)),NOT(ISBLANK(K16)),NOT(ISBLANK(L16))),(I16*ROUND((J16-L16)/(K16-L16),3)),"")</f>
        <v>96110</v>
      </c>
      <c r="N16" s="19"/>
      <c r="O16" s="13"/>
      <c r="P16" s="21" t="s">
        <v>12</v>
      </c>
      <c r="Q16" s="21"/>
      <c r="R16" s="21">
        <v>0</v>
      </c>
      <c r="S16" s="20"/>
      <c r="T16" s="42"/>
      <c r="W16" s="4"/>
    </row>
    <row r="17" spans="1:23" x14ac:dyDescent="0.35">
      <c r="A17" s="54" t="str">
        <f t="shared" ca="1" si="2"/>
        <v/>
      </c>
      <c r="B17" s="37" t="str">
        <f t="shared" si="0"/>
        <v/>
      </c>
      <c r="C17" s="24">
        <v>42503</v>
      </c>
      <c r="D17" s="27"/>
      <c r="E17" s="16"/>
      <c r="F17" s="16">
        <f t="shared" si="1"/>
        <v>0</v>
      </c>
      <c r="G17" s="19"/>
      <c r="H17" s="43"/>
      <c r="I17" s="50">
        <f>-10126</f>
        <v>-10126</v>
      </c>
      <c r="J17" s="33">
        <v>4.25</v>
      </c>
      <c r="K17" s="34">
        <v>0.71099999999999997</v>
      </c>
      <c r="L17" s="35">
        <v>0.23</v>
      </c>
      <c r="M17" s="51">
        <f>IF(AND(NOT(ISBLANK(Eg)),NOT(ISBLANK(K17)),NOT(ISBLANK(L17))),(I17*ROUND((J17-L17)/(K17-L17),3)),"")</f>
        <v>-84633.108000000007</v>
      </c>
      <c r="N17" s="19"/>
      <c r="O17" s="13"/>
      <c r="P17" s="16" t="s">
        <v>11</v>
      </c>
      <c r="Q17" s="21"/>
      <c r="R17" s="21">
        <v>0</v>
      </c>
      <c r="S17" s="20"/>
      <c r="T17" s="42"/>
      <c r="W17" s="4"/>
    </row>
    <row r="18" spans="1:23" x14ac:dyDescent="0.35">
      <c r="A18" s="54" t="str">
        <f t="shared" ca="1" si="2"/>
        <v/>
      </c>
      <c r="B18" s="37" t="str">
        <f t="shared" si="0"/>
        <v/>
      </c>
      <c r="C18" s="24">
        <v>42503</v>
      </c>
      <c r="D18" s="27"/>
      <c r="E18" s="16"/>
      <c r="F18" s="16">
        <f t="shared" si="1"/>
        <v>0</v>
      </c>
      <c r="G18" s="19"/>
      <c r="H18" s="43"/>
      <c r="I18" s="50">
        <f>10126</f>
        <v>10126</v>
      </c>
      <c r="J18" s="33">
        <v>4.25</v>
      </c>
      <c r="K18" s="34">
        <v>0.71099999999999997</v>
      </c>
      <c r="L18" s="35">
        <v>0.3</v>
      </c>
      <c r="M18" s="51">
        <f>IF(AND(NOT(ISBLANK(Eg)),NOT(ISBLANK(K18)),NOT(ISBLANK(L18))),(I18*ROUND((J18-L18)/(K18-L18),3)),"")</f>
        <v>97320.986000000004</v>
      </c>
      <c r="N18" s="19"/>
      <c r="O18" s="13"/>
      <c r="P18" s="21" t="s">
        <v>12</v>
      </c>
      <c r="Q18" s="21"/>
      <c r="R18" s="21">
        <v>0</v>
      </c>
      <c r="S18" s="20"/>
      <c r="T18" s="42"/>
      <c r="W18" s="4"/>
    </row>
    <row r="19" spans="1:23" x14ac:dyDescent="0.35">
      <c r="A19" s="54" t="str">
        <f t="shared" ca="1" si="2"/>
        <v/>
      </c>
      <c r="B19" s="37">
        <f t="shared" si="0"/>
        <v>42505</v>
      </c>
      <c r="C19" s="24">
        <v>42505</v>
      </c>
      <c r="D19" s="28"/>
      <c r="E19" s="21" t="s">
        <v>17</v>
      </c>
      <c r="F19" s="21">
        <f t="shared" si="1"/>
        <v>1</v>
      </c>
      <c r="G19" s="19"/>
      <c r="H19" s="43"/>
      <c r="I19" s="50">
        <f>-20126</f>
        <v>-20126</v>
      </c>
      <c r="J19" s="33">
        <v>4.25</v>
      </c>
      <c r="K19" s="34">
        <v>0.71099999999999997</v>
      </c>
      <c r="L19" s="35">
        <v>0.3</v>
      </c>
      <c r="M19" s="51">
        <f>IF(AND(NOT(ISBLANK(Eg)),NOT(ISBLANK(K19)),NOT(ISBLANK(L19))),(I19*ROUND((J19-L19)/(K19-L19),3)),"")</f>
        <v>-193430.986</v>
      </c>
      <c r="N19" s="19"/>
      <c r="O19" s="13"/>
      <c r="P19" s="21" t="s">
        <v>11</v>
      </c>
      <c r="Q19" s="21"/>
      <c r="R19" s="21">
        <v>1</v>
      </c>
      <c r="S19" s="20"/>
      <c r="T19" s="42"/>
      <c r="W19" s="4"/>
    </row>
    <row r="20" spans="1:23" x14ac:dyDescent="0.35">
      <c r="A20" s="54">
        <f t="shared" ca="1" si="2"/>
        <v>42505</v>
      </c>
      <c r="B20" s="37">
        <f t="shared" si="0"/>
        <v>42505</v>
      </c>
      <c r="C20" s="24">
        <v>42505</v>
      </c>
      <c r="D20" s="28"/>
      <c r="E20" s="21" t="s">
        <v>17</v>
      </c>
      <c r="F20" s="21">
        <f t="shared" si="1"/>
        <v>1</v>
      </c>
      <c r="G20" s="19"/>
      <c r="H20" s="43"/>
      <c r="I20" s="50">
        <f>-301</f>
        <v>-301</v>
      </c>
      <c r="J20" s="33">
        <v>2.8</v>
      </c>
      <c r="K20" s="34">
        <v>0.71099999999999997</v>
      </c>
      <c r="L20" s="35">
        <v>0.3</v>
      </c>
      <c r="M20" s="51">
        <f>IF(AND(NOT(ISBLANK(Eg)),NOT(ISBLANK(K20)),NOT(ISBLANK(L20))),(I20*ROUND((J20-L20)/(K20-L20),3)),"")</f>
        <v>-1830.9829999999999</v>
      </c>
      <c r="N20" s="19"/>
      <c r="O20" s="13"/>
      <c r="P20" s="21" t="s">
        <v>11</v>
      </c>
      <c r="Q20" s="21"/>
      <c r="R20" s="21">
        <f>IF(ISBLANK(#REF!),0,1)</f>
        <v>1</v>
      </c>
      <c r="S20" s="20"/>
      <c r="T20" s="42"/>
      <c r="W20" s="4"/>
    </row>
    <row r="21" spans="1:23" x14ac:dyDescent="0.35">
      <c r="A21" s="54">
        <f t="shared" ca="1" si="2"/>
        <v>42551</v>
      </c>
      <c r="B21" s="37" t="str">
        <f t="shared" si="0"/>
        <v/>
      </c>
      <c r="C21" s="25">
        <v>42551</v>
      </c>
      <c r="D21" s="27"/>
      <c r="E21" s="16"/>
      <c r="F21" s="16">
        <f t="shared" si="1"/>
        <v>0</v>
      </c>
      <c r="G21" s="19"/>
      <c r="H21" s="43"/>
      <c r="I21" s="52">
        <f>2592.254</f>
        <v>2592.2539999999999</v>
      </c>
      <c r="J21" s="33">
        <v>4.3499999999999996</v>
      </c>
      <c r="K21" s="34">
        <v>0.71099999999999997</v>
      </c>
      <c r="L21" s="35">
        <v>0.25</v>
      </c>
      <c r="M21" s="51">
        <f>IF(AND(NOT(ISBLANK(Eg)),NOT(ISBLANK(K21)),NOT(ISBLANK(L21))),(I21*ROUND((J21-L21)/(K21-L21),3)),"")</f>
        <v>23055.507075999998</v>
      </c>
      <c r="N21" s="19"/>
      <c r="O21" s="13"/>
      <c r="P21" s="16" t="s">
        <v>12</v>
      </c>
      <c r="Q21" s="17"/>
      <c r="R21" s="17">
        <v>0</v>
      </c>
      <c r="S21" s="20"/>
      <c r="T21" s="42"/>
      <c r="W21" s="4"/>
    </row>
    <row r="22" spans="1:23" x14ac:dyDescent="0.35">
      <c r="A22" s="54" t="str">
        <f t="shared" ca="1" si="2"/>
        <v/>
      </c>
      <c r="B22" s="37" t="str">
        <f t="shared" si="0"/>
        <v/>
      </c>
      <c r="C22" s="24">
        <v>42583</v>
      </c>
      <c r="D22" s="27"/>
      <c r="E22" s="16"/>
      <c r="F22" s="16">
        <f t="shared" si="1"/>
        <v>0</v>
      </c>
      <c r="G22" s="19"/>
      <c r="H22" s="43"/>
      <c r="I22" s="50">
        <f>6258.187</f>
        <v>6258.1869999999999</v>
      </c>
      <c r="J22" s="33">
        <v>4.5</v>
      </c>
      <c r="K22" s="34">
        <v>0.71099999999999997</v>
      </c>
      <c r="L22" s="35">
        <v>0.25</v>
      </c>
      <c r="M22" s="51">
        <f>IF(AND(NOT(ISBLANK(Eg)),NOT(ISBLANK(K22)),NOT(ISBLANK(L22))),(I22*ROUND((J22-L22)/(K22-L22),3)),"")</f>
        <v>57694.225952999994</v>
      </c>
      <c r="N22" s="19"/>
      <c r="O22" s="13"/>
      <c r="P22" s="16" t="s">
        <v>12</v>
      </c>
      <c r="Q22" s="17"/>
      <c r="R22" s="17">
        <v>0</v>
      </c>
      <c r="S22" s="20"/>
      <c r="T22" s="42"/>
      <c r="W22" s="4"/>
    </row>
    <row r="23" spans="1:23" x14ac:dyDescent="0.35">
      <c r="A23" s="54" t="str">
        <f t="shared" ca="1" si="2"/>
        <v/>
      </c>
      <c r="B23" s="37">
        <f t="shared" si="0"/>
        <v>42583</v>
      </c>
      <c r="C23" s="24">
        <v>42583</v>
      </c>
      <c r="D23" s="28"/>
      <c r="E23" s="21" t="s">
        <v>18</v>
      </c>
      <c r="F23" s="21">
        <f t="shared" si="1"/>
        <v>1</v>
      </c>
      <c r="G23" s="19"/>
      <c r="H23" s="43"/>
      <c r="I23" s="50">
        <f>-14055</f>
        <v>-14055</v>
      </c>
      <c r="J23" s="33">
        <v>4.25</v>
      </c>
      <c r="K23" s="34">
        <v>0.71099999999999997</v>
      </c>
      <c r="L23" s="35">
        <v>0.2</v>
      </c>
      <c r="M23" s="51">
        <f>IF(AND(NOT(ISBLANK(Eg)),NOT(ISBLANK(K23)),NOT(ISBLANK(L23))),(I23*ROUND((J23-L23)/(K23-L23),3)),"")</f>
        <v>-111399.93000000001</v>
      </c>
      <c r="N23" s="19"/>
      <c r="O23" s="13"/>
      <c r="P23" s="21" t="s">
        <v>11</v>
      </c>
      <c r="Q23" s="17"/>
      <c r="R23" s="17">
        <f>IF(ISBLANK(#REF!),0,1)</f>
        <v>1</v>
      </c>
      <c r="S23" s="20"/>
      <c r="T23" s="42"/>
      <c r="W23" s="4"/>
    </row>
    <row r="24" spans="1:23" x14ac:dyDescent="0.35">
      <c r="A24" s="54" t="str">
        <f t="shared" ca="1" si="2"/>
        <v/>
      </c>
      <c r="B24" s="37">
        <f t="shared" si="0"/>
        <v>42583</v>
      </c>
      <c r="C24" s="24">
        <v>42583</v>
      </c>
      <c r="D24" s="28"/>
      <c r="E24" s="21" t="s">
        <v>18</v>
      </c>
      <c r="F24" s="21">
        <f t="shared" si="1"/>
        <v>1</v>
      </c>
      <c r="G24" s="19"/>
      <c r="H24" s="43"/>
      <c r="I24" s="50">
        <f>-15921</f>
        <v>-15921</v>
      </c>
      <c r="J24" s="33">
        <v>4.25</v>
      </c>
      <c r="K24" s="34">
        <v>0.71099999999999997</v>
      </c>
      <c r="L24" s="35">
        <v>0.23</v>
      </c>
      <c r="M24" s="51">
        <f>IF(AND(NOT(ISBLANK(Eg)),NOT(ISBLANK(K24)),NOT(ISBLANK(L24))),(I24*ROUND((J24-L24)/(K24-L24),3)),"")</f>
        <v>-133067.71800000002</v>
      </c>
      <c r="N24" s="19"/>
      <c r="O24" s="13"/>
      <c r="P24" s="21" t="s">
        <v>11</v>
      </c>
      <c r="Q24" s="21"/>
      <c r="R24" s="21">
        <f>IF(ISBLANK(#REF!),0,1)</f>
        <v>1</v>
      </c>
      <c r="S24" s="20"/>
      <c r="T24" s="42"/>
      <c r="W24" s="4"/>
    </row>
    <row r="25" spans="1:23" x14ac:dyDescent="0.35">
      <c r="A25" s="54" t="str">
        <f t="shared" ca="1" si="2"/>
        <v/>
      </c>
      <c r="B25" s="37" t="str">
        <f t="shared" si="0"/>
        <v/>
      </c>
      <c r="C25" s="24">
        <v>42583</v>
      </c>
      <c r="D25" s="28"/>
      <c r="E25" s="21"/>
      <c r="F25" s="21">
        <f t="shared" si="1"/>
        <v>0</v>
      </c>
      <c r="G25" s="19"/>
      <c r="H25" s="43"/>
      <c r="I25" s="50">
        <f>-31655</f>
        <v>-31655</v>
      </c>
      <c r="J25" s="33">
        <v>4.5999999999999996</v>
      </c>
      <c r="K25" s="34">
        <v>0.71099999999999997</v>
      </c>
      <c r="L25" s="35">
        <v>0.23</v>
      </c>
      <c r="M25" s="51">
        <f>IF(AND(NOT(ISBLANK(Eg)),NOT(ISBLANK(K25)),NOT(ISBLANK(L25))),(I25*ROUND((J25-L25)/(K25-L25),3)),"")</f>
        <v>-287585.67500000005</v>
      </c>
      <c r="N25" s="19"/>
      <c r="O25" s="13"/>
      <c r="P25" s="21" t="s">
        <v>11</v>
      </c>
      <c r="Q25" s="21"/>
      <c r="R25" s="21">
        <v>0</v>
      </c>
      <c r="S25" s="20"/>
      <c r="T25" s="42"/>
      <c r="W25" s="4"/>
    </row>
    <row r="26" spans="1:23" x14ac:dyDescent="0.35">
      <c r="A26" s="54" t="str">
        <f t="shared" ca="1" si="2"/>
        <v/>
      </c>
      <c r="B26" s="37" t="str">
        <f t="shared" si="0"/>
        <v/>
      </c>
      <c r="C26" s="24">
        <v>42583</v>
      </c>
      <c r="D26" s="28"/>
      <c r="E26" s="21"/>
      <c r="F26" s="21">
        <f t="shared" si="1"/>
        <v>0</v>
      </c>
      <c r="G26" s="19"/>
      <c r="H26" s="43"/>
      <c r="I26" s="50">
        <f>31655</f>
        <v>31655</v>
      </c>
      <c r="J26" s="33">
        <v>4.5999999999999996</v>
      </c>
      <c r="K26" s="34">
        <v>0.71099999999999997</v>
      </c>
      <c r="L26" s="35">
        <v>0.3</v>
      </c>
      <c r="M26" s="51">
        <f>IF(AND(NOT(ISBLANK(Eg)),NOT(ISBLANK(K26)),NOT(ISBLANK(L26))),(I26*ROUND((J26-L26)/(K26-L26),3)),"")</f>
        <v>331174.61</v>
      </c>
      <c r="N26" s="19"/>
      <c r="O26" s="13"/>
      <c r="P26" s="21" t="s">
        <v>12</v>
      </c>
      <c r="Q26" s="21"/>
      <c r="R26" s="21">
        <v>0</v>
      </c>
      <c r="S26" s="20"/>
      <c r="T26" s="42"/>
      <c r="W26" s="4"/>
    </row>
    <row r="27" spans="1:23" x14ac:dyDescent="0.35">
      <c r="A27" s="54" t="str">
        <f t="shared" ca="1" si="2"/>
        <v/>
      </c>
      <c r="B27" s="37" t="str">
        <f t="shared" si="0"/>
        <v/>
      </c>
      <c r="C27" s="24">
        <v>42583</v>
      </c>
      <c r="D27" s="28"/>
      <c r="E27" s="21"/>
      <c r="F27" s="21">
        <f t="shared" si="1"/>
        <v>0</v>
      </c>
      <c r="G27" s="19"/>
      <c r="H27" s="43"/>
      <c r="I27" s="50">
        <f>-1852</f>
        <v>-1852</v>
      </c>
      <c r="J27" s="33">
        <v>2.8</v>
      </c>
      <c r="K27" s="34">
        <v>0.71099999999999997</v>
      </c>
      <c r="L27" s="35">
        <v>0.23</v>
      </c>
      <c r="M27" s="51">
        <f>IF(AND(NOT(ISBLANK(Eg)),NOT(ISBLANK(K27)),NOT(ISBLANK(L27))),(I27*ROUND((J27-L27)/(K27-L27),3)),"")</f>
        <v>-9895.2360000000008</v>
      </c>
      <c r="N27" s="19"/>
      <c r="O27" s="13"/>
      <c r="P27" s="21" t="s">
        <v>11</v>
      </c>
      <c r="Q27" s="21"/>
      <c r="R27" s="21">
        <v>0</v>
      </c>
      <c r="S27" s="20"/>
      <c r="T27" s="42"/>
      <c r="W27" s="4"/>
    </row>
    <row r="28" spans="1:23" x14ac:dyDescent="0.35">
      <c r="A28" s="54" t="str">
        <f t="shared" ca="1" si="2"/>
        <v/>
      </c>
      <c r="B28" s="37" t="str">
        <f t="shared" si="0"/>
        <v/>
      </c>
      <c r="C28" s="24">
        <v>42583</v>
      </c>
      <c r="D28" s="28"/>
      <c r="E28" s="21"/>
      <c r="F28" s="21">
        <f t="shared" si="1"/>
        <v>0</v>
      </c>
      <c r="G28" s="19"/>
      <c r="H28" s="43"/>
      <c r="I28" s="50">
        <f>1852</f>
        <v>1852</v>
      </c>
      <c r="J28" s="33">
        <v>2.8</v>
      </c>
      <c r="K28" s="34">
        <v>0.71099999999999997</v>
      </c>
      <c r="L28" s="35">
        <v>0.3</v>
      </c>
      <c r="M28" s="51">
        <f>IF(AND(NOT(ISBLANK(Eg)),NOT(ISBLANK(K28)),NOT(ISBLANK(L28))),(I28*ROUND((J28-L28)/(K28-L28),3)),"")</f>
        <v>11265.716</v>
      </c>
      <c r="N28" s="19"/>
      <c r="O28" s="13"/>
      <c r="P28" s="21" t="s">
        <v>12</v>
      </c>
      <c r="Q28" s="21"/>
      <c r="R28" s="21">
        <v>0</v>
      </c>
      <c r="S28" s="20"/>
      <c r="T28" s="42"/>
      <c r="W28" s="4"/>
    </row>
    <row r="29" spans="1:23" x14ac:dyDescent="0.35">
      <c r="A29" s="54" t="str">
        <f t="shared" ca="1" si="2"/>
        <v/>
      </c>
      <c r="B29" s="37">
        <f t="shared" si="0"/>
        <v>42583</v>
      </c>
      <c r="C29" s="24">
        <v>42583</v>
      </c>
      <c r="D29" s="28"/>
      <c r="E29" s="21" t="s">
        <v>22</v>
      </c>
      <c r="F29" s="21">
        <f t="shared" si="1"/>
        <v>1</v>
      </c>
      <c r="G29" s="19"/>
      <c r="H29" s="43"/>
      <c r="I29" s="50">
        <f>-31655</f>
        <v>-31655</v>
      </c>
      <c r="J29" s="33">
        <v>4.5999999999999996</v>
      </c>
      <c r="K29" s="34">
        <v>0.71099999999999997</v>
      </c>
      <c r="L29" s="35">
        <v>0.3</v>
      </c>
      <c r="M29" s="51">
        <f>IF(AND(NOT(ISBLANK(Eg)),NOT(ISBLANK(K29)),NOT(ISBLANK(L29))),(I29*ROUND((J29-L29)/(K29-L29),3)),"")</f>
        <v>-331174.61</v>
      </c>
      <c r="N29" s="19"/>
      <c r="O29" s="13"/>
      <c r="P29" s="21" t="s">
        <v>11</v>
      </c>
      <c r="Q29" s="21"/>
      <c r="R29" s="21">
        <v>1</v>
      </c>
      <c r="S29" s="20"/>
      <c r="T29" s="42"/>
      <c r="W29" s="4"/>
    </row>
    <row r="30" spans="1:23" x14ac:dyDescent="0.35">
      <c r="A30" s="54">
        <f t="shared" ca="1" si="2"/>
        <v>42583</v>
      </c>
      <c r="B30" s="37">
        <f t="shared" si="0"/>
        <v>42583</v>
      </c>
      <c r="C30" s="24">
        <v>42583</v>
      </c>
      <c r="D30" s="28"/>
      <c r="E30" s="21" t="s">
        <v>22</v>
      </c>
      <c r="F30" s="21">
        <f t="shared" si="1"/>
        <v>1</v>
      </c>
      <c r="G30" s="19"/>
      <c r="H30" s="43"/>
      <c r="I30" s="50">
        <f>-1852</f>
        <v>-1852</v>
      </c>
      <c r="J30" s="33">
        <v>2.8</v>
      </c>
      <c r="K30" s="34">
        <v>0.71099999999999997</v>
      </c>
      <c r="L30" s="35">
        <v>0.3</v>
      </c>
      <c r="M30" s="51">
        <f>IF(AND(NOT(ISBLANK(Eg)),NOT(ISBLANK(K30)),NOT(ISBLANK(L30))),(I30*ROUND((J30-L30)/(K30-L30),3)),"")</f>
        <v>-11265.716</v>
      </c>
      <c r="N30" s="19"/>
      <c r="O30" s="13"/>
      <c r="P30" s="21" t="s">
        <v>11</v>
      </c>
      <c r="Q30" s="21"/>
      <c r="R30" s="21">
        <f>IF(ISBLANK(#REF!),0,1)</f>
        <v>1</v>
      </c>
      <c r="S30" s="20"/>
      <c r="T30" s="42"/>
      <c r="W30" s="4"/>
    </row>
    <row r="31" spans="1:23" x14ac:dyDescent="0.35">
      <c r="A31" s="54">
        <f t="shared" ca="1" si="2"/>
        <v>42643</v>
      </c>
      <c r="B31" s="37" t="str">
        <f t="shared" si="0"/>
        <v/>
      </c>
      <c r="C31" s="24">
        <v>42643</v>
      </c>
      <c r="D31" s="27"/>
      <c r="E31" s="16"/>
      <c r="F31" s="16">
        <f t="shared" si="1"/>
        <v>0</v>
      </c>
      <c r="G31" s="19"/>
      <c r="H31" s="43"/>
      <c r="I31" s="50">
        <f>3755.718</f>
        <v>3755.7179999999998</v>
      </c>
      <c r="J31" s="33">
        <v>4.3499999999999996</v>
      </c>
      <c r="K31" s="34">
        <v>0.71099999999999997</v>
      </c>
      <c r="L31" s="35">
        <v>0.25</v>
      </c>
      <c r="M31" s="51">
        <f>IF(AND(NOT(ISBLANK(Eg)),NOT(ISBLANK(K31)),NOT(ISBLANK(L31))),(I31*ROUND((J31-L31)/(K31-L31),3)),"")</f>
        <v>33403.355892</v>
      </c>
      <c r="N31" s="19"/>
      <c r="O31" s="13"/>
      <c r="P31" s="16" t="s">
        <v>12</v>
      </c>
      <c r="Q31" s="17"/>
      <c r="R31" s="17">
        <v>0</v>
      </c>
      <c r="S31" s="20"/>
      <c r="T31" s="42"/>
      <c r="W31" s="4"/>
    </row>
    <row r="32" spans="1:23" x14ac:dyDescent="0.35">
      <c r="A32" s="54" t="str">
        <f t="shared" ca="1" si="2"/>
        <v/>
      </c>
      <c r="B32" s="37" t="str">
        <f t="shared" si="0"/>
        <v/>
      </c>
      <c r="C32" s="24">
        <v>42704</v>
      </c>
      <c r="D32" s="27"/>
      <c r="E32" s="16"/>
      <c r="F32" s="16">
        <f t="shared" si="1"/>
        <v>0</v>
      </c>
      <c r="G32" s="19"/>
      <c r="H32" s="43"/>
      <c r="I32" s="50">
        <f>-8598-8598</f>
        <v>-17196</v>
      </c>
      <c r="J32" s="33">
        <v>4.5</v>
      </c>
      <c r="K32" s="34">
        <v>0.71099999999999997</v>
      </c>
      <c r="L32" s="35">
        <v>0.22</v>
      </c>
      <c r="M32" s="51">
        <f>IF(AND(NOT(ISBLANK(Eg)),NOT(ISBLANK(K32)),NOT(ISBLANK(L32))),(I32*ROUND((J32-L32)/(K32-L32),3)),"")</f>
        <v>-149897.53200000001</v>
      </c>
      <c r="N32" s="19"/>
      <c r="O32" s="13"/>
      <c r="P32" s="21" t="s">
        <v>10</v>
      </c>
      <c r="Q32" s="21"/>
      <c r="R32" s="21">
        <v>0</v>
      </c>
      <c r="S32" s="20"/>
      <c r="T32" s="42"/>
      <c r="W32" s="4"/>
    </row>
    <row r="33" spans="1:23" x14ac:dyDescent="0.35">
      <c r="A33" s="54">
        <f t="shared" ca="1" si="2"/>
        <v>42704</v>
      </c>
      <c r="B33" s="37" t="str">
        <f t="shared" si="0"/>
        <v/>
      </c>
      <c r="C33" s="24">
        <v>42704</v>
      </c>
      <c r="D33" s="27"/>
      <c r="E33" s="16"/>
      <c r="F33" s="16">
        <f t="shared" si="1"/>
        <v>0</v>
      </c>
      <c r="G33" s="19"/>
      <c r="H33" s="43"/>
      <c r="I33" s="50">
        <f>8598+8598</f>
        <v>17196</v>
      </c>
      <c r="J33" s="33">
        <v>4.5</v>
      </c>
      <c r="K33" s="34">
        <v>0.71099999999999997</v>
      </c>
      <c r="L33" s="35">
        <v>0.3</v>
      </c>
      <c r="M33" s="51">
        <f>IF(AND(NOT(ISBLANK(Eg)),NOT(ISBLANK(K33)),NOT(ISBLANK(L33))),(I33*ROUND((J33-L33)/(K33-L33),3)),"")</f>
        <v>175725.924</v>
      </c>
      <c r="N33" s="19"/>
      <c r="O33" s="13"/>
      <c r="P33" s="21" t="s">
        <v>12</v>
      </c>
      <c r="Q33" s="21"/>
      <c r="R33" s="21">
        <v>0</v>
      </c>
      <c r="S33" s="20"/>
      <c r="T33" s="42"/>
      <c r="W33" s="4"/>
    </row>
    <row r="34" spans="1:23" x14ac:dyDescent="0.35">
      <c r="A34" s="54" t="str">
        <f t="shared" ca="1" si="2"/>
        <v/>
      </c>
      <c r="B34" s="37" t="str">
        <f t="shared" si="0"/>
        <v/>
      </c>
      <c r="C34" s="24">
        <v>42711</v>
      </c>
      <c r="D34" s="27"/>
      <c r="E34" s="16"/>
      <c r="F34" s="16">
        <f t="shared" si="1"/>
        <v>0</v>
      </c>
      <c r="G34" s="19"/>
      <c r="H34" s="43"/>
      <c r="I34" s="50">
        <f>9329.064</f>
        <v>9329.0640000000003</v>
      </c>
      <c r="J34" s="33">
        <v>4.5</v>
      </c>
      <c r="K34" s="34">
        <v>0.71099999999999997</v>
      </c>
      <c r="L34" s="35">
        <v>0.25</v>
      </c>
      <c r="M34" s="51">
        <f>IF(AND(NOT(ISBLANK(Eg)),NOT(ISBLANK(K34)),NOT(ISBLANK(L34))),(I34*ROUND((J34-L34)/(K34-L34),3)),"")</f>
        <v>86004.641015999994</v>
      </c>
      <c r="N34" s="19"/>
      <c r="O34" s="13"/>
      <c r="P34" s="16" t="s">
        <v>12</v>
      </c>
      <c r="Q34" s="21"/>
      <c r="R34" s="21">
        <v>0</v>
      </c>
      <c r="S34" s="20"/>
      <c r="T34" s="42"/>
      <c r="W34" s="4"/>
    </row>
    <row r="35" spans="1:23" x14ac:dyDescent="0.35">
      <c r="A35" s="54" t="str">
        <f t="shared" ca="1" si="2"/>
        <v/>
      </c>
      <c r="B35" s="37" t="str">
        <f t="shared" si="0"/>
        <v/>
      </c>
      <c r="C35" s="24">
        <v>42711</v>
      </c>
      <c r="D35" s="27"/>
      <c r="E35" s="16"/>
      <c r="F35" s="16">
        <f t="shared" si="1"/>
        <v>0</v>
      </c>
      <c r="G35" s="19"/>
      <c r="H35" s="43"/>
      <c r="I35" s="50">
        <f>5881.366</f>
        <v>5881.366</v>
      </c>
      <c r="J35" s="33">
        <v>4.3499999999999996</v>
      </c>
      <c r="K35" s="34">
        <v>0.71099999999999997</v>
      </c>
      <c r="L35" s="35">
        <v>0.25</v>
      </c>
      <c r="M35" s="51">
        <f>IF(AND(NOT(ISBLANK(Eg)),NOT(ISBLANK(K35)),NOT(ISBLANK(L35))),(I35*ROUND((J35-L35)/(K35-L35),3)),"")</f>
        <v>52308.869204000002</v>
      </c>
      <c r="N35" s="19"/>
      <c r="O35" s="13"/>
      <c r="P35" s="16" t="s">
        <v>12</v>
      </c>
      <c r="Q35" s="17"/>
      <c r="R35" s="17">
        <v>0</v>
      </c>
      <c r="S35" s="20"/>
      <c r="T35" s="42"/>
      <c r="W35" s="4"/>
    </row>
    <row r="36" spans="1:23" x14ac:dyDescent="0.35">
      <c r="A36" s="54" t="str">
        <f t="shared" ca="1" si="2"/>
        <v/>
      </c>
      <c r="B36" s="37" t="str">
        <f t="shared" si="0"/>
        <v/>
      </c>
      <c r="C36" s="24">
        <v>42712</v>
      </c>
      <c r="D36" s="27"/>
      <c r="E36" s="16"/>
      <c r="F36" s="16">
        <f t="shared" si="1"/>
        <v>0</v>
      </c>
      <c r="G36" s="19"/>
      <c r="H36" s="43"/>
      <c r="I36" s="50">
        <f>-16803.904</f>
        <v>-16803.903999999999</v>
      </c>
      <c r="J36" s="33">
        <v>4.3499999999999996</v>
      </c>
      <c r="K36" s="34">
        <v>0.71099999999999997</v>
      </c>
      <c r="L36" s="35">
        <v>0.25</v>
      </c>
      <c r="M36" s="51">
        <f>IF(AND(NOT(ISBLANK(Eg)),NOT(ISBLANK(K36)),NOT(ISBLANK(L36))),(I36*ROUND((J36-L36)/(K36-L36),3)),"")</f>
        <v>-149453.92217599999</v>
      </c>
      <c r="N36" s="19"/>
      <c r="O36" s="13"/>
      <c r="P36" s="21" t="s">
        <v>11</v>
      </c>
      <c r="Q36" s="17"/>
      <c r="R36" s="17">
        <v>0</v>
      </c>
      <c r="S36" s="20"/>
      <c r="T36" s="42"/>
      <c r="W36" s="4"/>
    </row>
    <row r="37" spans="1:23" x14ac:dyDescent="0.35">
      <c r="A37" s="54" t="str">
        <f t="shared" ca="1" si="2"/>
        <v/>
      </c>
      <c r="B37" s="37" t="str">
        <f t="shared" si="0"/>
        <v/>
      </c>
      <c r="C37" s="24">
        <v>42712</v>
      </c>
      <c r="D37" s="27"/>
      <c r="E37" s="16"/>
      <c r="F37" s="16">
        <f t="shared" si="1"/>
        <v>0</v>
      </c>
      <c r="G37" s="19"/>
      <c r="H37" s="43"/>
      <c r="I37" s="50">
        <f>16803.904</f>
        <v>16803.903999999999</v>
      </c>
      <c r="J37" s="33">
        <v>4.3499999999999996</v>
      </c>
      <c r="K37" s="34">
        <v>0.71099999999999997</v>
      </c>
      <c r="L37" s="35">
        <v>0.25</v>
      </c>
      <c r="M37" s="51">
        <f>IF(AND(NOT(ISBLANK(Eg)),NOT(ISBLANK(K37)),NOT(ISBLANK(L37))),(I37*ROUND((J37-L37)/(K37-L37),3)),"")</f>
        <v>149453.92217599999</v>
      </c>
      <c r="N37" s="19"/>
      <c r="O37" s="13"/>
      <c r="P37" s="21" t="s">
        <v>21</v>
      </c>
      <c r="Q37" s="21"/>
      <c r="R37" s="21">
        <v>0</v>
      </c>
      <c r="S37" s="20"/>
      <c r="T37" s="42"/>
      <c r="W37" s="4"/>
    </row>
    <row r="38" spans="1:23" x14ac:dyDescent="0.35">
      <c r="A38" s="54" t="str">
        <f t="shared" ca="1" si="2"/>
        <v/>
      </c>
      <c r="B38" s="37">
        <f t="shared" si="0"/>
        <v>42719</v>
      </c>
      <c r="C38" s="24">
        <v>42719</v>
      </c>
      <c r="D38" s="28"/>
      <c r="E38" s="21" t="s">
        <v>19</v>
      </c>
      <c r="F38" s="21">
        <f t="shared" si="1"/>
        <v>1</v>
      </c>
      <c r="G38" s="19"/>
      <c r="H38" s="43"/>
      <c r="I38" s="50">
        <f>-8598</f>
        <v>-8598</v>
      </c>
      <c r="J38" s="33">
        <v>4.5</v>
      </c>
      <c r="K38" s="34">
        <v>0.71099999999999997</v>
      </c>
      <c r="L38" s="35">
        <v>0.3</v>
      </c>
      <c r="M38" s="51">
        <f>IF(AND(NOT(ISBLANK(Eg)),NOT(ISBLANK(K38)),NOT(ISBLANK(L38))),(I38*ROUND((J38-L38)/(K38-L38),3)),"")</f>
        <v>-87862.962</v>
      </c>
      <c r="N38" s="19"/>
      <c r="O38" s="13"/>
      <c r="P38" s="21" t="s">
        <v>11</v>
      </c>
      <c r="Q38" s="21"/>
      <c r="R38" s="21">
        <f>IF(ISBLANK(#REF!),0,1)</f>
        <v>1</v>
      </c>
      <c r="S38" s="20"/>
      <c r="T38" s="42"/>
      <c r="W38" s="4"/>
    </row>
    <row r="39" spans="1:23" x14ac:dyDescent="0.35">
      <c r="A39" s="54" t="str">
        <f t="shared" ca="1" si="2"/>
        <v/>
      </c>
      <c r="B39" s="37">
        <f t="shared" si="0"/>
        <v>42719</v>
      </c>
      <c r="C39" s="24">
        <v>42719</v>
      </c>
      <c r="D39" s="28"/>
      <c r="E39" s="21" t="s">
        <v>20</v>
      </c>
      <c r="F39" s="21">
        <f t="shared" si="1"/>
        <v>1</v>
      </c>
      <c r="G39" s="19"/>
      <c r="H39" s="43"/>
      <c r="I39" s="50">
        <f>-8598</f>
        <v>-8598</v>
      </c>
      <c r="J39" s="33">
        <v>4.5</v>
      </c>
      <c r="K39" s="34">
        <v>0.71099999999999997</v>
      </c>
      <c r="L39" s="35">
        <v>0.3</v>
      </c>
      <c r="M39" s="51">
        <f>IF(AND(NOT(ISBLANK(Eg)),NOT(ISBLANK(K39)),NOT(ISBLANK(L39))),(I39*ROUND((J39-L39)/(K39-L39),3)),"")</f>
        <v>-87862.962</v>
      </c>
      <c r="N39" s="19"/>
      <c r="O39" s="13"/>
      <c r="P39" s="21" t="s">
        <v>11</v>
      </c>
      <c r="Q39" s="21"/>
      <c r="R39" s="21">
        <f>IF(ISBLANK(#REF!),0,1)</f>
        <v>1</v>
      </c>
      <c r="S39" s="20"/>
      <c r="T39" s="42"/>
      <c r="W39" s="4"/>
    </row>
    <row r="40" spans="1:23" x14ac:dyDescent="0.35">
      <c r="A40" s="54">
        <f t="shared" ca="1" si="2"/>
        <v>42735</v>
      </c>
      <c r="B40" s="37" t="str">
        <f t="shared" si="0"/>
        <v/>
      </c>
      <c r="C40" s="24">
        <v>42735</v>
      </c>
      <c r="D40" s="27"/>
      <c r="E40" s="16"/>
      <c r="F40" s="16">
        <f t="shared" si="1"/>
        <v>0</v>
      </c>
      <c r="G40" s="19"/>
      <c r="H40" s="43"/>
      <c r="I40" s="50">
        <f>38121.378</f>
        <v>38121.377999999997</v>
      </c>
      <c r="J40" s="33">
        <v>4.3499999999999996</v>
      </c>
      <c r="K40" s="34">
        <v>0.71099999999999997</v>
      </c>
      <c r="L40" s="35">
        <v>0.25</v>
      </c>
      <c r="M40" s="51">
        <f>IF(AND(NOT(ISBLANK(Eg)),NOT(ISBLANK(K40)),NOT(ISBLANK(L40))),(I40*ROUND((J40-L40)/(K40-L40),3)),"")</f>
        <v>339051.53593199997</v>
      </c>
      <c r="N40" s="19"/>
      <c r="O40" s="13"/>
      <c r="P40" s="16" t="s">
        <v>12</v>
      </c>
      <c r="Q40" s="17"/>
      <c r="R40" s="17">
        <v>0</v>
      </c>
      <c r="S40" s="20"/>
      <c r="T40" s="42"/>
      <c r="W40" s="4"/>
    </row>
    <row r="42" spans="1:23" x14ac:dyDescent="0.35">
      <c r="A42" s="48"/>
      <c r="F42" s="12"/>
      <c r="G42" s="44"/>
      <c r="H42" s="45"/>
      <c r="I42" s="46"/>
      <c r="J42" s="6"/>
      <c r="K42" s="12"/>
      <c r="M42" s="47"/>
      <c r="O42" s="45"/>
    </row>
    <row r="43" spans="1:23" x14ac:dyDescent="0.35">
      <c r="F43" s="12"/>
      <c r="G43" s="44"/>
      <c r="H43" s="45"/>
      <c r="I43" s="46"/>
      <c r="J43" s="6"/>
      <c r="K43" s="12"/>
      <c r="L43" s="5"/>
      <c r="M43" s="47"/>
      <c r="O43" s="45"/>
    </row>
    <row r="44" spans="1:23" x14ac:dyDescent="0.35">
      <c r="F44" s="12"/>
      <c r="G44" s="45"/>
      <c r="H44" s="45"/>
      <c r="I44" s="46"/>
      <c r="J44" s="6"/>
      <c r="K44" s="12"/>
      <c r="L44" s="5"/>
      <c r="M44" s="47"/>
      <c r="O44" s="45"/>
    </row>
    <row r="45" spans="1:23" x14ac:dyDescent="0.35">
      <c r="F45" s="12"/>
      <c r="G45" s="44"/>
      <c r="H45" s="45"/>
      <c r="I45" s="46"/>
      <c r="J45" s="6"/>
      <c r="K45" s="12"/>
      <c r="L45" s="5"/>
      <c r="M45" s="47"/>
      <c r="O45" s="45"/>
    </row>
    <row r="46" spans="1:23" x14ac:dyDescent="0.35">
      <c r="B46" s="51">
        <f>SUMPRODUCT((Tableau2[Date Opération]&gt;=DATE(2016,1,1))*(Tableau2[Date Opération]&lt;=DATE(2016,12,31))*(Tableau2[Feed])*(Tableau2[MAD]))</f>
        <v>-1429055.9610000001</v>
      </c>
      <c r="C46" s="49"/>
    </row>
  </sheetData>
  <sortState ref="V5:W16">
    <sortCondition ref="V5"/>
  </sortState>
  <conditionalFormatting sqref="C6:C22 C40">
    <cfRule type="expression" dxfId="52" priority="123">
      <formula>$C6&lt;$C5</formula>
    </cfRule>
  </conditionalFormatting>
  <conditionalFormatting sqref="C31">
    <cfRule type="expression" dxfId="51" priority="167">
      <formula>$C31&lt;$C22</formula>
    </cfRule>
  </conditionalFormatting>
  <conditionalFormatting sqref="C23">
    <cfRule type="expression" dxfId="50" priority="119">
      <formula>$C23&lt;$C22</formula>
    </cfRule>
  </conditionalFormatting>
  <conditionalFormatting sqref="C25">
    <cfRule type="expression" dxfId="49" priority="115">
      <formula>$C25&lt;$C23</formula>
    </cfRule>
  </conditionalFormatting>
  <conditionalFormatting sqref="C26">
    <cfRule type="expression" dxfId="48" priority="111">
      <formula>$C26&lt;$C25</formula>
    </cfRule>
  </conditionalFormatting>
  <conditionalFormatting sqref="C27">
    <cfRule type="expression" dxfId="47" priority="107">
      <formula>$C27&lt;$C26</formula>
    </cfRule>
  </conditionalFormatting>
  <conditionalFormatting sqref="C28">
    <cfRule type="expression" dxfId="46" priority="103">
      <formula>$C28&lt;$C27</formula>
    </cfRule>
  </conditionalFormatting>
  <conditionalFormatting sqref="C24">
    <cfRule type="expression" dxfId="45" priority="99">
      <formula>$C24&lt;$C23</formula>
    </cfRule>
  </conditionalFormatting>
  <conditionalFormatting sqref="C32">
    <cfRule type="expression" dxfId="44" priority="97">
      <formula>$C32&lt;$C23</formula>
    </cfRule>
  </conditionalFormatting>
  <conditionalFormatting sqref="C33">
    <cfRule type="expression" dxfId="43" priority="90">
      <formula>$C33&lt;$C24</formula>
    </cfRule>
  </conditionalFormatting>
  <conditionalFormatting sqref="C38">
    <cfRule type="expression" dxfId="42" priority="85">
      <formula>$C38&lt;$C25</formula>
    </cfRule>
  </conditionalFormatting>
  <conditionalFormatting sqref="C39">
    <cfRule type="expression" dxfId="41" priority="80">
      <formula>$C39&lt;$C26</formula>
    </cfRule>
  </conditionalFormatting>
  <conditionalFormatting sqref="C34">
    <cfRule type="expression" dxfId="40" priority="61">
      <formula>$C34&lt;$C23</formula>
    </cfRule>
  </conditionalFormatting>
  <conditionalFormatting sqref="C35">
    <cfRule type="expression" dxfId="39" priority="56">
      <formula>$C35&lt;$C24</formula>
    </cfRule>
  </conditionalFormatting>
  <conditionalFormatting sqref="C36">
    <cfRule type="expression" dxfId="38" priority="51">
      <formula>$C36&lt;$C25</formula>
    </cfRule>
  </conditionalFormatting>
  <conditionalFormatting sqref="C37">
    <cfRule type="expression" dxfId="37" priority="42">
      <formula>$C37&lt;$C32</formula>
    </cfRule>
  </conditionalFormatting>
  <conditionalFormatting sqref="A5:F28 A31:F40 S31:T40 S5:T28 I5:Q40">
    <cfRule type="expression" dxfId="36" priority="39">
      <formula>MONTH(OFFSET($C5,1,0,1,1))&lt;&gt;MONTH($C5)</formula>
    </cfRule>
  </conditionalFormatting>
  <conditionalFormatting sqref="H5:H28 H31:H40">
    <cfRule type="expression" dxfId="35" priority="38">
      <formula>MONTH(OFFSET($C5,1,0,1,1))&lt;&gt;MONTH($C5)</formula>
    </cfRule>
  </conditionalFormatting>
  <conditionalFormatting sqref="G5:G28 G31:G40">
    <cfRule type="expression" dxfId="34" priority="37">
      <formula>MONTH(OFFSET($C5,1,0,1,1))&lt;&gt;MONTH($C5)</formula>
    </cfRule>
  </conditionalFormatting>
  <conditionalFormatting sqref="C30">
    <cfRule type="expression" dxfId="33" priority="33">
      <formula>$C30&lt;$C28</formula>
    </cfRule>
  </conditionalFormatting>
  <conditionalFormatting sqref="A30:F30 S30:T30">
    <cfRule type="expression" dxfId="32" priority="30">
      <formula>MONTH(OFFSET($C30,1,0,1,1))&lt;&gt;MONTH($C30)</formula>
    </cfRule>
  </conditionalFormatting>
  <conditionalFormatting sqref="H30">
    <cfRule type="expression" dxfId="31" priority="29">
      <formula>MONTH(OFFSET($C30,1,0,1,1))&lt;&gt;MONTH($C30)</formula>
    </cfRule>
  </conditionalFormatting>
  <conditionalFormatting sqref="G30">
    <cfRule type="expression" dxfId="30" priority="28">
      <formula>MONTH(OFFSET($C30,1,0,1,1))&lt;&gt;MONTH($C30)</formula>
    </cfRule>
  </conditionalFormatting>
  <conditionalFormatting sqref="C29">
    <cfRule type="expression" dxfId="29" priority="24">
      <formula>$C29&lt;$C27</formula>
    </cfRule>
  </conditionalFormatting>
  <conditionalFormatting sqref="A29:F29 S29:T29">
    <cfRule type="expression" dxfId="28" priority="21">
      <formula>MONTH(OFFSET($C29,1,0,1,1))&lt;&gt;MONTH($C29)</formula>
    </cfRule>
  </conditionalFormatting>
  <conditionalFormatting sqref="H29">
    <cfRule type="expression" dxfId="27" priority="20">
      <formula>MONTH(OFFSET($C29,1,0,1,1))&lt;&gt;MONTH($C29)</formula>
    </cfRule>
  </conditionalFormatting>
  <conditionalFormatting sqref="G29">
    <cfRule type="expression" dxfId="26" priority="19">
      <formula>MONTH(OFFSET($C29,1,0,1,1))&lt;&gt;MONTH($C29)</formula>
    </cfRule>
  </conditionalFormatting>
  <conditionalFormatting sqref="L6:L40">
    <cfRule type="expression" dxfId="25" priority="168" stopIfTrue="1">
      <formula>OR($L6&lt;VLOOKUP($Q6&amp;"MIN",PlagesTeneurs,3),$L6&gt;VLOOKUP($Q6&amp;"MAX",PlagesTeneurs,3))</formula>
    </cfRule>
  </conditionalFormatting>
  <conditionalFormatting sqref="J6:J21">
    <cfRule type="expression" dxfId="24" priority="172">
      <formula>OR($J6&lt;VLOOKUP($Q6&amp;"MIN",PlagesTeneurs,2),$J6&gt;VLOOKUP($Q6&amp;"MAX",PlagesTeneurs,2))</formula>
    </cfRule>
  </conditionalFormatting>
  <conditionalFormatting sqref="R5:R40">
    <cfRule type="expression" dxfId="23" priority="2">
      <formula>MONTH(OFFSET($C5,1,0,1,1))&lt;&gt;MONTH($C5)</formula>
    </cfRule>
  </conditionalFormatting>
  <conditionalFormatting sqref="B46">
    <cfRule type="expression" dxfId="22" priority="1">
      <formula>MONTH(OFFSET($C46,1,0,1,1))&lt;&gt;MONTH($C46)</formula>
    </cfRule>
  </conditionalFormatting>
  <dataValidations count="3">
    <dataValidation type="list" allowBlank="1" showInputMessage="1" showErrorMessage="1" sqref="D6:D13">
      <formula1>Fabricant</formula1>
    </dataValidation>
    <dataValidation type="list" allowBlank="1" showInputMessage="1" showErrorMessage="1" sqref="P6:P40">
      <formula1>Type</formula1>
    </dataValidation>
    <dataValidation type="list" allowBlank="1" showInputMessage="1" showErrorMessage="1" sqref="Q6:Q40">
      <formula1>Lieu</formula1>
    </dataValidation>
  </dataValidations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MVT STOCKS</vt:lpstr>
    </vt:vector>
  </TitlesOfParts>
  <Company>IT-Services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Cordier</dc:creator>
  <cp:lastModifiedBy>Michel Staelens</cp:lastModifiedBy>
  <cp:lastPrinted>2016-04-08T09:39:09Z</cp:lastPrinted>
  <dcterms:created xsi:type="dcterms:W3CDTF">2015-09-11T11:43:11Z</dcterms:created>
  <dcterms:modified xsi:type="dcterms:W3CDTF">2016-04-12T10:44:23Z</dcterms:modified>
</cp:coreProperties>
</file>