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1" l="1"/>
  <c r="L21" i="1"/>
  <c r="K21" i="1"/>
  <c r="J21" i="1"/>
  <c r="I21" i="1"/>
  <c r="H21" i="1"/>
  <c r="G21" i="1"/>
  <c r="F21" i="1"/>
  <c r="E21" i="1"/>
  <c r="D21" i="1"/>
  <c r="C21" i="1"/>
  <c r="B21" i="1"/>
  <c r="I20" i="1"/>
  <c r="M20" i="1"/>
  <c r="L20" i="1"/>
  <c r="M15" i="1"/>
  <c r="L15" i="1"/>
  <c r="M13" i="1"/>
  <c r="L13" i="1"/>
  <c r="M24" i="1"/>
  <c r="M17" i="1"/>
  <c r="M14" i="1"/>
  <c r="M11" i="1"/>
  <c r="M18" i="1" s="1"/>
  <c r="M26" i="1" l="1"/>
  <c r="M12" i="1"/>
  <c r="K20" i="1" l="1"/>
  <c r="K17" i="1"/>
  <c r="K14" i="1"/>
  <c r="K12" i="1"/>
  <c r="L26" i="1" l="1"/>
  <c r="H24" i="1"/>
  <c r="E24" i="1"/>
  <c r="G33" i="1" l="1"/>
  <c r="G32" i="1"/>
  <c r="F34" i="1"/>
  <c r="F36" i="1"/>
  <c r="F35" i="1"/>
  <c r="F33" i="1"/>
  <c r="F32" i="1"/>
  <c r="L14" i="1"/>
  <c r="C14" i="1"/>
  <c r="D14" i="1"/>
  <c r="E14" i="1"/>
  <c r="F14" i="1"/>
  <c r="G14" i="1"/>
  <c r="H14" i="1"/>
  <c r="I14" i="1"/>
  <c r="J14" i="1"/>
  <c r="B14" i="1"/>
  <c r="L11" i="1"/>
  <c r="K29" i="1" l="1"/>
  <c r="K30" i="1" s="1"/>
  <c r="K24" i="1"/>
  <c r="K26" i="1" s="1"/>
  <c r="K15" i="1" l="1"/>
  <c r="K11" i="1"/>
  <c r="K18" i="1"/>
  <c r="J20" i="1" l="1"/>
  <c r="J15" i="1" l="1"/>
  <c r="J29" i="1" l="1"/>
  <c r="J30" i="1" s="1"/>
  <c r="J24" i="1"/>
  <c r="J26" i="1" s="1"/>
  <c r="J17" i="1"/>
  <c r="J18" i="1"/>
  <c r="J11" i="1"/>
  <c r="J12" i="1"/>
  <c r="I29" i="1"/>
  <c r="I30" i="1" s="1"/>
  <c r="I24" i="1"/>
  <c r="I26" i="1" s="1"/>
  <c r="I17" i="1" l="1"/>
  <c r="I11" i="1"/>
  <c r="I12" i="1" s="1"/>
  <c r="G29" i="1"/>
  <c r="G30" i="1" s="1"/>
  <c r="G26" i="1"/>
  <c r="G24" i="1"/>
  <c r="G15" i="1"/>
  <c r="I18" i="1" l="1"/>
  <c r="G20" i="1"/>
  <c r="G17" i="1"/>
  <c r="G11" i="1" l="1"/>
  <c r="G12" i="1" l="1"/>
  <c r="G18" i="1"/>
  <c r="F15" i="1" l="1"/>
  <c r="F29" i="1" s="1"/>
  <c r="F30" i="1" l="1"/>
  <c r="F24" i="1"/>
  <c r="F26" i="1" s="1"/>
  <c r="F17" i="1"/>
  <c r="F11" i="1"/>
  <c r="F18" i="1" s="1"/>
  <c r="D29" i="1"/>
  <c r="D30" i="1" s="1"/>
  <c r="D24" i="1"/>
  <c r="D26" i="1" s="1"/>
  <c r="D17" i="1"/>
  <c r="C11" i="1"/>
  <c r="D11" i="1"/>
  <c r="D12" i="1" s="1"/>
  <c r="E11" i="1"/>
  <c r="H11" i="1"/>
  <c r="B11" i="1"/>
  <c r="D18" i="1" l="1"/>
  <c r="F12" i="1"/>
  <c r="C24" i="1"/>
  <c r="H26" i="1"/>
  <c r="H18" i="1" l="1"/>
  <c r="E18" i="1"/>
  <c r="C18" i="1"/>
  <c r="C17" i="1"/>
  <c r="C29" i="1"/>
  <c r="C30" i="1" s="1"/>
  <c r="C12" i="1"/>
  <c r="C26" i="1" l="1"/>
  <c r="H29" i="1"/>
  <c r="H30" i="1" s="1"/>
  <c r="B24" i="1"/>
  <c r="B16" i="1" l="1"/>
  <c r="B15" i="1"/>
  <c r="B13" i="1"/>
  <c r="B29" i="1" s="1"/>
  <c r="B30" i="1" s="1"/>
  <c r="B12" i="1"/>
  <c r="L24" i="1"/>
  <c r="E12" i="1"/>
  <c r="L18" i="1"/>
  <c r="B17" i="1" l="1"/>
  <c r="B20" i="1"/>
  <c r="B18" i="1"/>
  <c r="L12" i="1"/>
  <c r="B26" i="1"/>
  <c r="E17" i="1"/>
  <c r="H17" i="1"/>
  <c r="E15" i="1"/>
  <c r="E26" i="1" s="1"/>
  <c r="L17" i="1" l="1"/>
  <c r="E29" i="1"/>
  <c r="E30" i="1" s="1"/>
  <c r="H12" i="1"/>
</calcChain>
</file>

<file path=xl/sharedStrings.xml><?xml version="1.0" encoding="utf-8"?>
<sst xmlns="http://schemas.openxmlformats.org/spreadsheetml/2006/main" count="65" uniqueCount="50">
  <si>
    <t>Nb logements</t>
  </si>
  <si>
    <t>PAULE ET GASTON</t>
  </si>
  <si>
    <t>LOULOU PITOU</t>
  </si>
  <si>
    <t>TROIS MARES</t>
  </si>
  <si>
    <t>Surface finançable (m²)</t>
  </si>
  <si>
    <t>Prix VEFA TTC proposé</t>
  </si>
  <si>
    <t>Ratio Surface habitable</t>
  </si>
  <si>
    <t xml:space="preserve">Ratio Surface parking </t>
  </si>
  <si>
    <t>( = Ratio Surface habitable/2)</t>
  </si>
  <si>
    <t>Contrôle prix VEFA</t>
  </si>
  <si>
    <t>Ecart avec prix réel</t>
  </si>
  <si>
    <t>Prix VEFA TTC réel</t>
  </si>
  <si>
    <t>PLAISANCE</t>
  </si>
  <si>
    <t>Promoteur</t>
  </si>
  <si>
    <t>AJP</t>
  </si>
  <si>
    <t>Programmation</t>
  </si>
  <si>
    <t>Livraison</t>
  </si>
  <si>
    <t>LLS</t>
  </si>
  <si>
    <t>LLTS</t>
  </si>
  <si>
    <t>PLS</t>
  </si>
  <si>
    <t>Surface parking couverts (m²)</t>
  </si>
  <si>
    <t>Prix anciennes opérations si application ratio de l'opération proposée = 2100 € m² SHAB / 1050 m² PK</t>
  </si>
  <si>
    <t>OISEAUX DU PARADIS</t>
  </si>
  <si>
    <t>BOUTARIC</t>
  </si>
  <si>
    <t>SF / lgt</t>
  </si>
  <si>
    <t>Type d'habitat</t>
  </si>
  <si>
    <t>collectif</t>
  </si>
  <si>
    <t>MDV</t>
  </si>
  <si>
    <t>PECHERS</t>
  </si>
  <si>
    <t>CORRE</t>
  </si>
  <si>
    <t>PETUNIAS</t>
  </si>
  <si>
    <t>TERRES CREOLES</t>
  </si>
  <si>
    <t>PRP TTC / m² SF</t>
  </si>
  <si>
    <t>MAURICE LEBON</t>
  </si>
  <si>
    <t>CHANE TENG / AH LINE</t>
  </si>
  <si>
    <t>RPA HOPITAL</t>
  </si>
  <si>
    <t>ISAUTIER</t>
  </si>
  <si>
    <t>EQUILIBRE</t>
  </si>
  <si>
    <t>SCCV</t>
  </si>
  <si>
    <t>MIAMI</t>
  </si>
  <si>
    <t>DE SIGOYER</t>
  </si>
  <si>
    <t>SH</t>
  </si>
  <si>
    <t>SP</t>
  </si>
  <si>
    <t>PRIX</t>
  </si>
  <si>
    <t>SF</t>
  </si>
  <si>
    <t xml:space="preserve">PRP TTC  </t>
  </si>
  <si>
    <t>Prix TTC au logement</t>
  </si>
  <si>
    <t>SHAB y/c Varangues (m²)</t>
  </si>
  <si>
    <t>Prix m² SHAB y/c Varangues</t>
  </si>
  <si>
    <t>Prix m² 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</si>
</sst>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&quot;plafond DEAL &quot;#,##0&quot; € TTC/m² SF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Font="1"/>
    <xf numFmtId="0" fontId="0" fillId="0" borderId="2" xfId="0" applyBorder="1"/>
    <xf numFmtId="0" fontId="0" fillId="0" borderId="3" xfId="0" applyBorder="1"/>
    <xf numFmtId="0" fontId="0" fillId="0" borderId="5" xfId="0" applyBorder="1"/>
    <xf numFmtId="164" fontId="0" fillId="2" borderId="7" xfId="0" applyNumberFormat="1" applyFill="1" applyBorder="1"/>
    <xf numFmtId="0" fontId="0" fillId="3" borderId="0" xfId="0" applyFill="1"/>
    <xf numFmtId="164" fontId="1" fillId="0" borderId="4" xfId="0" applyNumberFormat="1" applyFont="1" applyBorder="1"/>
    <xf numFmtId="0" fontId="3" fillId="3" borderId="0" xfId="0" applyFont="1" applyFill="1"/>
    <xf numFmtId="164" fontId="2" fillId="3" borderId="0" xfId="0" applyNumberFormat="1" applyFont="1" applyFill="1"/>
    <xf numFmtId="164" fontId="0" fillId="3" borderId="0" xfId="0" applyNumberFormat="1" applyFill="1"/>
    <xf numFmtId="164" fontId="3" fillId="3" borderId="0" xfId="0" applyNumberFormat="1" applyFont="1" applyFill="1"/>
    <xf numFmtId="0" fontId="0" fillId="0" borderId="6" xfId="0" applyFont="1" applyBorder="1" applyAlignment="1">
      <alignment horizontal="center"/>
    </xf>
    <xf numFmtId="0" fontId="0" fillId="0" borderId="5" xfId="0" applyFont="1" applyBorder="1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ont="1" applyFill="1" applyBorder="1"/>
    <xf numFmtId="0" fontId="0" fillId="0" borderId="5" xfId="0" applyFont="1" applyFill="1" applyBorder="1"/>
    <xf numFmtId="0" fontId="0" fillId="4" borderId="1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4" fontId="0" fillId="0" borderId="2" xfId="0" applyNumberFormat="1" applyBorder="1" applyAlignment="1">
      <alignment horizontal="center"/>
    </xf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0" borderId="0" xfId="0" applyFont="1" applyBorder="1"/>
    <xf numFmtId="0" fontId="5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4" fontId="0" fillId="5" borderId="5" xfId="0" applyNumberFormat="1" applyFill="1" applyBorder="1" applyAlignment="1">
      <alignment horizontal="center"/>
    </xf>
    <xf numFmtId="4" fontId="0" fillId="5" borderId="1" xfId="0" applyNumberFormat="1" applyFill="1" applyBorder="1" applyAlignment="1">
      <alignment horizontal="center"/>
    </xf>
    <xf numFmtId="4" fontId="0" fillId="5" borderId="2" xfId="0" applyNumberFormat="1" applyFill="1" applyBorder="1" applyAlignment="1">
      <alignment horizontal="center"/>
    </xf>
    <xf numFmtId="4" fontId="0" fillId="5" borderId="4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4" fontId="6" fillId="0" borderId="1" xfId="0" applyNumberFormat="1" applyFont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4" fontId="0" fillId="0" borderId="0" xfId="0" applyNumberFormat="1"/>
    <xf numFmtId="164" fontId="0" fillId="0" borderId="0" xfId="0" applyNumberFormat="1"/>
    <xf numFmtId="9" fontId="0" fillId="0" borderId="0" xfId="1" applyFont="1"/>
    <xf numFmtId="0" fontId="1" fillId="0" borderId="8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164" fontId="1" fillId="7" borderId="10" xfId="0" applyNumberFormat="1" applyFont="1" applyFill="1" applyBorder="1"/>
    <xf numFmtId="164" fontId="7" fillId="6" borderId="11" xfId="0" applyNumberFormat="1" applyFont="1" applyFill="1" applyBorder="1"/>
    <xf numFmtId="0" fontId="0" fillId="4" borderId="8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6" fillId="0" borderId="8" xfId="0" applyNumberFormat="1" applyFont="1" applyBorder="1" applyAlignment="1">
      <alignment horizontal="center"/>
    </xf>
    <xf numFmtId="4" fontId="0" fillId="5" borderId="14" xfId="0" applyNumberFormat="1" applyFill="1" applyBorder="1" applyAlignment="1">
      <alignment horizontal="center"/>
    </xf>
    <xf numFmtId="4" fontId="0" fillId="5" borderId="12" xfId="0" applyNumberFormat="1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164" fontId="0" fillId="5" borderId="14" xfId="0" applyNumberForma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164" fontId="1" fillId="0" borderId="17" xfId="0" applyNumberFormat="1" applyFont="1" applyBorder="1"/>
    <xf numFmtId="164" fontId="0" fillId="2" borderId="18" xfId="0" applyNumberFormat="1" applyFill="1" applyBorder="1"/>
    <xf numFmtId="0" fontId="0" fillId="4" borderId="15" xfId="0" applyFont="1" applyFill="1" applyBorder="1" applyAlignment="1">
      <alignment horizontal="center"/>
    </xf>
    <xf numFmtId="0" fontId="0" fillId="4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4" fontId="0" fillId="0" borderId="17" xfId="0" applyNumberFormat="1" applyBorder="1" applyAlignment="1">
      <alignment horizontal="center"/>
    </xf>
    <xf numFmtId="4" fontId="6" fillId="0" borderId="15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5" borderId="15" xfId="0" applyNumberFormat="1" applyFill="1" applyBorder="1" applyAlignment="1">
      <alignment horizontal="center"/>
    </xf>
    <xf numFmtId="4" fontId="0" fillId="5" borderId="17" xfId="0" applyNumberFormat="1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164" fontId="0" fillId="5" borderId="15" xfId="0" applyNumberForma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164" fontId="0" fillId="6" borderId="4" xfId="0" applyNumberFormat="1" applyFill="1" applyBorder="1"/>
    <xf numFmtId="164" fontId="1" fillId="6" borderId="7" xfId="0" applyNumberFormat="1" applyFont="1" applyFill="1" applyBorder="1"/>
    <xf numFmtId="4" fontId="0" fillId="6" borderId="4" xfId="0" applyNumberFormat="1" applyFill="1" applyBorder="1" applyAlignment="1">
      <alignment horizontal="center"/>
    </xf>
    <xf numFmtId="4" fontId="6" fillId="6" borderId="1" xfId="0" applyNumberFormat="1" applyFont="1" applyFill="1" applyBorder="1" applyAlignment="1">
      <alignment horizontal="center"/>
    </xf>
    <xf numFmtId="4" fontId="0" fillId="6" borderId="0" xfId="0" applyNumberFormat="1" applyFill="1" applyAlignment="1">
      <alignment horizontal="center"/>
    </xf>
    <xf numFmtId="4" fontId="0" fillId="0" borderId="14" xfId="0" applyNumberFormat="1" applyBorder="1" applyAlignment="1">
      <alignment horizontal="center"/>
    </xf>
    <xf numFmtId="0" fontId="7" fillId="0" borderId="1" xfId="0" applyFont="1" applyBorder="1" applyAlignment="1">
      <alignment horizontal="left"/>
    </xf>
    <xf numFmtId="4" fontId="7" fillId="0" borderId="1" xfId="0" applyNumberFormat="1" applyFont="1" applyBorder="1" applyAlignment="1">
      <alignment horizontal="center"/>
    </xf>
    <xf numFmtId="4" fontId="7" fillId="0" borderId="15" xfId="0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/>
    </xf>
    <xf numFmtId="4" fontId="7" fillId="6" borderId="1" xfId="0" applyNumberFormat="1" applyFont="1" applyFill="1" applyBorder="1" applyAlignment="1">
      <alignment horizontal="center"/>
    </xf>
    <xf numFmtId="4" fontId="0" fillId="0" borderId="2" xfId="0" applyNumberFormat="1" applyBorder="1"/>
    <xf numFmtId="4" fontId="0" fillId="0" borderId="12" xfId="0" applyNumberFormat="1" applyBorder="1" applyAlignment="1">
      <alignment horizontal="center"/>
    </xf>
    <xf numFmtId="0" fontId="0" fillId="0" borderId="4" xfId="0" applyBorder="1" applyAlignment="1">
      <alignment vertical="center"/>
    </xf>
    <xf numFmtId="4" fontId="1" fillId="0" borderId="2" xfId="0" applyNumberFormat="1" applyFont="1" applyBorder="1"/>
    <xf numFmtId="4" fontId="1" fillId="0" borderId="2" xfId="0" applyNumberFormat="1" applyFont="1" applyBorder="1" applyAlignment="1">
      <alignment horizontal="center"/>
    </xf>
    <xf numFmtId="4" fontId="1" fillId="0" borderId="17" xfId="0" applyNumberFormat="1" applyFont="1" applyBorder="1" applyAlignment="1">
      <alignment horizontal="center"/>
    </xf>
    <xf numFmtId="4" fontId="1" fillId="0" borderId="12" xfId="0" applyNumberFormat="1" applyFont="1" applyBorder="1" applyAlignment="1">
      <alignment horizontal="center"/>
    </xf>
    <xf numFmtId="4" fontId="1" fillId="0" borderId="0" xfId="0" applyNumberFormat="1" applyFont="1"/>
    <xf numFmtId="165" fontId="6" fillId="0" borderId="1" xfId="0" applyNumberFormat="1" applyFont="1" applyBorder="1" applyAlignment="1">
      <alignment horizontal="left"/>
    </xf>
  </cellXfs>
  <cellStyles count="2">
    <cellStyle name="Normal" xfId="0" builtinId="0"/>
    <cellStyle name="Pourcentage" xfId="1" builtinId="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6"/>
  <sheetViews>
    <sheetView showGridLines="0"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1" sqref="B21"/>
    </sheetView>
  </sheetViews>
  <sheetFormatPr baseColWidth="10" defaultRowHeight="14.5" x14ac:dyDescent="0.35"/>
  <cols>
    <col min="1" max="1" width="36.7265625" bestFit="1" customWidth="1"/>
    <col min="2" max="4" width="27" customWidth="1"/>
    <col min="5" max="5" width="18.7265625" bestFit="1" customWidth="1"/>
    <col min="6" max="6" width="18.7265625" customWidth="1"/>
    <col min="7" max="7" width="21.54296875" customWidth="1"/>
    <col min="8" max="8" width="18.7265625" bestFit="1" customWidth="1"/>
    <col min="9" max="11" width="18.7265625" customWidth="1"/>
    <col min="12" max="12" width="26.26953125" customWidth="1"/>
    <col min="13" max="13" width="27" customWidth="1"/>
  </cols>
  <sheetData>
    <row r="1" spans="1:13" x14ac:dyDescent="0.35">
      <c r="B1" s="15" t="s">
        <v>12</v>
      </c>
      <c r="C1" s="15" t="s">
        <v>22</v>
      </c>
      <c r="D1" s="15" t="s">
        <v>28</v>
      </c>
      <c r="E1" s="15" t="s">
        <v>2</v>
      </c>
      <c r="F1" s="15" t="s">
        <v>30</v>
      </c>
      <c r="G1" s="15" t="s">
        <v>33</v>
      </c>
      <c r="H1" s="15" t="s">
        <v>1</v>
      </c>
      <c r="I1" s="15" t="s">
        <v>35</v>
      </c>
      <c r="J1" s="57" t="s">
        <v>37</v>
      </c>
      <c r="K1" s="43" t="s">
        <v>39</v>
      </c>
      <c r="L1" s="73" t="s">
        <v>3</v>
      </c>
      <c r="M1" s="73" t="s">
        <v>3</v>
      </c>
    </row>
    <row r="2" spans="1:13" s="1" customFormat="1" x14ac:dyDescent="0.35">
      <c r="A2" s="13" t="s">
        <v>13</v>
      </c>
      <c r="B2" s="14" t="s">
        <v>14</v>
      </c>
      <c r="C2" s="14" t="s">
        <v>23</v>
      </c>
      <c r="D2" s="14" t="s">
        <v>29</v>
      </c>
      <c r="E2" s="14" t="s">
        <v>14</v>
      </c>
      <c r="F2" s="14" t="s">
        <v>31</v>
      </c>
      <c r="G2" s="14" t="s">
        <v>34</v>
      </c>
      <c r="H2" s="14" t="s">
        <v>14</v>
      </c>
      <c r="I2" s="14" t="s">
        <v>36</v>
      </c>
      <c r="J2" s="58" t="s">
        <v>38</v>
      </c>
      <c r="K2" s="44" t="s">
        <v>40</v>
      </c>
      <c r="L2" s="74" t="s">
        <v>14</v>
      </c>
      <c r="M2" s="74" t="s">
        <v>14</v>
      </c>
    </row>
    <row r="3" spans="1:13" s="1" customFormat="1" x14ac:dyDescent="0.35">
      <c r="A3" s="13" t="s">
        <v>15</v>
      </c>
      <c r="B3" s="14">
        <v>2011</v>
      </c>
      <c r="C3" s="14">
        <v>2011</v>
      </c>
      <c r="D3" s="14">
        <v>2011</v>
      </c>
      <c r="E3" s="14">
        <v>2014</v>
      </c>
      <c r="F3" s="14">
        <v>2014</v>
      </c>
      <c r="G3" s="14">
        <v>2015</v>
      </c>
      <c r="H3" s="14">
        <v>2016</v>
      </c>
      <c r="I3" s="14">
        <v>2017</v>
      </c>
      <c r="J3" s="58">
        <v>2017</v>
      </c>
      <c r="K3" s="44">
        <v>2019</v>
      </c>
      <c r="L3" s="74">
        <v>2019</v>
      </c>
      <c r="M3" s="74">
        <v>2019</v>
      </c>
    </row>
    <row r="4" spans="1:13" s="1" customFormat="1" x14ac:dyDescent="0.35">
      <c r="A4" s="13" t="s">
        <v>16</v>
      </c>
      <c r="B4" s="14">
        <v>2013</v>
      </c>
      <c r="C4" s="14">
        <v>2013</v>
      </c>
      <c r="D4" s="14">
        <v>2013</v>
      </c>
      <c r="E4" s="14">
        <v>2016</v>
      </c>
      <c r="F4" s="14">
        <v>2018</v>
      </c>
      <c r="G4" s="14"/>
      <c r="H4" s="14">
        <v>2018</v>
      </c>
      <c r="I4" s="14"/>
      <c r="J4" s="58"/>
      <c r="K4" s="44"/>
      <c r="L4" s="74"/>
      <c r="M4" s="74"/>
    </row>
    <row r="5" spans="1:13" s="1" customFormat="1" x14ac:dyDescent="0.35">
      <c r="A5" s="26" t="s">
        <v>25</v>
      </c>
      <c r="B5" s="12" t="s">
        <v>26</v>
      </c>
      <c r="C5" s="12" t="s">
        <v>27</v>
      </c>
      <c r="D5" s="12" t="s">
        <v>27</v>
      </c>
      <c r="E5" s="12" t="s">
        <v>26</v>
      </c>
      <c r="F5" s="12" t="s">
        <v>26</v>
      </c>
      <c r="G5" s="12" t="s">
        <v>26</v>
      </c>
      <c r="H5" s="12" t="s">
        <v>26</v>
      </c>
      <c r="I5" s="12" t="s">
        <v>26</v>
      </c>
      <c r="J5" s="59" t="s">
        <v>27</v>
      </c>
      <c r="K5" s="45" t="s">
        <v>26</v>
      </c>
      <c r="L5" s="39" t="s">
        <v>26</v>
      </c>
      <c r="M5" s="39" t="s">
        <v>26</v>
      </c>
    </row>
    <row r="6" spans="1:13" x14ac:dyDescent="0.35">
      <c r="A6" s="2" t="s">
        <v>11</v>
      </c>
      <c r="B6" s="7">
        <v>10000000</v>
      </c>
      <c r="C6" s="7">
        <v>3772000</v>
      </c>
      <c r="D6" s="7">
        <v>3506440.94</v>
      </c>
      <c r="E6" s="7">
        <v>7250000</v>
      </c>
      <c r="F6" s="7">
        <v>8177215</v>
      </c>
      <c r="G6" s="7">
        <v>6373285</v>
      </c>
      <c r="H6" s="7">
        <v>2973918</v>
      </c>
      <c r="I6" s="7">
        <v>3564776</v>
      </c>
      <c r="J6" s="60">
        <v>6377000</v>
      </c>
      <c r="K6" s="46"/>
      <c r="L6" s="75"/>
      <c r="M6" s="75"/>
    </row>
    <row r="7" spans="1:13" x14ac:dyDescent="0.35">
      <c r="A7" s="3" t="s">
        <v>5</v>
      </c>
      <c r="B7" s="5"/>
      <c r="C7" s="5"/>
      <c r="D7" s="5"/>
      <c r="E7" s="5"/>
      <c r="F7" s="5"/>
      <c r="G7" s="5"/>
      <c r="H7" s="5"/>
      <c r="I7" s="5"/>
      <c r="J7" s="61"/>
      <c r="K7" s="47">
        <v>10893130.68</v>
      </c>
      <c r="L7" s="76">
        <v>8225038</v>
      </c>
      <c r="M7" s="76">
        <v>2324962</v>
      </c>
    </row>
    <row r="8" spans="1:13" s="1" customFormat="1" x14ac:dyDescent="0.35">
      <c r="A8" s="17" t="s">
        <v>17</v>
      </c>
      <c r="B8" s="14">
        <v>51</v>
      </c>
      <c r="C8" s="14">
        <v>23</v>
      </c>
      <c r="D8" s="14">
        <v>20</v>
      </c>
      <c r="E8" s="18"/>
      <c r="F8" s="18"/>
      <c r="G8" s="18"/>
      <c r="H8" s="18"/>
      <c r="I8" s="18"/>
      <c r="J8" s="62"/>
      <c r="K8" s="48"/>
      <c r="L8" s="74">
        <v>46</v>
      </c>
      <c r="M8" s="18"/>
    </row>
    <row r="9" spans="1:13" s="1" customFormat="1" x14ac:dyDescent="0.35">
      <c r="A9" s="17" t="s">
        <v>18</v>
      </c>
      <c r="B9" s="14">
        <v>6</v>
      </c>
      <c r="C9" s="18"/>
      <c r="D9" s="18"/>
      <c r="E9" s="14">
        <v>47</v>
      </c>
      <c r="F9" s="14">
        <v>50</v>
      </c>
      <c r="G9" s="14">
        <v>55</v>
      </c>
      <c r="H9" s="14">
        <v>23</v>
      </c>
      <c r="I9" s="14">
        <v>30</v>
      </c>
      <c r="J9" s="58">
        <v>37</v>
      </c>
      <c r="K9" s="48"/>
      <c r="L9" s="18"/>
      <c r="M9" s="74">
        <v>20</v>
      </c>
    </row>
    <row r="10" spans="1:13" s="1" customFormat="1" x14ac:dyDescent="0.35">
      <c r="A10" s="16" t="s">
        <v>19</v>
      </c>
      <c r="B10" s="19"/>
      <c r="C10" s="19"/>
      <c r="D10" s="19"/>
      <c r="E10" s="19"/>
      <c r="F10" s="19"/>
      <c r="G10" s="19"/>
      <c r="H10" s="19"/>
      <c r="I10" s="19"/>
      <c r="J10" s="63"/>
      <c r="K10" s="49">
        <v>60</v>
      </c>
      <c r="L10" s="19"/>
      <c r="M10" s="19"/>
    </row>
    <row r="11" spans="1:13" x14ac:dyDescent="0.35">
      <c r="A11" s="2" t="s">
        <v>0</v>
      </c>
      <c r="B11" s="20">
        <f>B8+B9+B10</f>
        <v>57</v>
      </c>
      <c r="C11" s="20">
        <f t="shared" ref="C11:L11" si="0">C8+C9+C10</f>
        <v>23</v>
      </c>
      <c r="D11" s="20">
        <f t="shared" si="0"/>
        <v>20</v>
      </c>
      <c r="E11" s="20">
        <f t="shared" si="0"/>
        <v>47</v>
      </c>
      <c r="F11" s="20">
        <f t="shared" si="0"/>
        <v>50</v>
      </c>
      <c r="G11" s="20">
        <f t="shared" si="0"/>
        <v>55</v>
      </c>
      <c r="H11" s="20">
        <f t="shared" si="0"/>
        <v>23</v>
      </c>
      <c r="I11" s="20">
        <f t="shared" si="0"/>
        <v>30</v>
      </c>
      <c r="J11" s="64">
        <f t="shared" si="0"/>
        <v>37</v>
      </c>
      <c r="K11" s="50">
        <f t="shared" si="0"/>
        <v>60</v>
      </c>
      <c r="L11" s="20">
        <f t="shared" si="0"/>
        <v>46</v>
      </c>
      <c r="M11" s="20">
        <f t="shared" ref="M11" si="1">M8+M9+M10</f>
        <v>20</v>
      </c>
    </row>
    <row r="12" spans="1:13" s="40" customFormat="1" x14ac:dyDescent="0.35">
      <c r="A12" s="86" t="s">
        <v>46</v>
      </c>
      <c r="B12" s="23">
        <f t="shared" ref="B12:J12" si="2">+B$6/B11</f>
        <v>175438.59649122806</v>
      </c>
      <c r="C12" s="23">
        <f t="shared" si="2"/>
        <v>164000</v>
      </c>
      <c r="D12" s="23">
        <f t="shared" si="2"/>
        <v>175322.04699999999</v>
      </c>
      <c r="E12" s="23">
        <f t="shared" si="2"/>
        <v>154255.31914893616</v>
      </c>
      <c r="F12" s="23">
        <f t="shared" si="2"/>
        <v>163544.29999999999</v>
      </c>
      <c r="G12" s="23">
        <f t="shared" si="2"/>
        <v>115877.90909090909</v>
      </c>
      <c r="H12" s="23">
        <f t="shared" si="2"/>
        <v>129300.78260869565</v>
      </c>
      <c r="I12" s="23">
        <f t="shared" si="2"/>
        <v>118825.86666666667</v>
      </c>
      <c r="J12" s="65">
        <f t="shared" si="2"/>
        <v>172351.35135135136</v>
      </c>
      <c r="K12" s="87">
        <f>+K$7/K11</f>
        <v>181552.17799999999</v>
      </c>
      <c r="L12" s="23">
        <f>+L$7/L11</f>
        <v>178805.17391304349</v>
      </c>
      <c r="M12" s="23">
        <f>+M$7/M11</f>
        <v>116248.1</v>
      </c>
    </row>
    <row r="13" spans="1:13" x14ac:dyDescent="0.35">
      <c r="A13" s="88" t="s">
        <v>47</v>
      </c>
      <c r="B13" s="23">
        <f>4165.73+391.84</f>
        <v>4557.57</v>
      </c>
      <c r="C13" s="23">
        <v>1916.48</v>
      </c>
      <c r="D13" s="23">
        <v>1707.35</v>
      </c>
      <c r="E13" s="21">
        <v>3318.5</v>
      </c>
      <c r="F13" s="21">
        <v>3918.4</v>
      </c>
      <c r="G13" s="21">
        <v>3155.14</v>
      </c>
      <c r="H13" s="21">
        <v>1332.5</v>
      </c>
      <c r="I13" s="21">
        <v>1699.31</v>
      </c>
      <c r="J13" s="65">
        <v>3032.98</v>
      </c>
      <c r="K13" s="51">
        <v>4547.8600000000006</v>
      </c>
      <c r="L13" s="77">
        <f>3531.34</f>
        <v>3531.34</v>
      </c>
      <c r="M13" s="77">
        <f>998.2</f>
        <v>998.2</v>
      </c>
    </row>
    <row r="14" spans="1:13" s="40" customFormat="1" x14ac:dyDescent="0.35">
      <c r="A14" s="86" t="s">
        <v>48</v>
      </c>
      <c r="B14" s="23" t="str">
        <f>ROUND(B$6/B13,0)&amp;" €/m² SHAB"</f>
        <v>2194 €/m² SHAB</v>
      </c>
      <c r="C14" s="23" t="str">
        <f t="shared" ref="C14:J14" si="3">ROUND(C$6/C13,0)&amp;" €/m² SHAB"</f>
        <v>1968 €/m² SHAB</v>
      </c>
      <c r="D14" s="23" t="str">
        <f t="shared" si="3"/>
        <v>2054 €/m² SHAB</v>
      </c>
      <c r="E14" s="23" t="str">
        <f t="shared" si="3"/>
        <v>2185 €/m² SHAB</v>
      </c>
      <c r="F14" s="23" t="str">
        <f t="shared" si="3"/>
        <v>2087 €/m² SHAB</v>
      </c>
      <c r="G14" s="23" t="str">
        <f t="shared" si="3"/>
        <v>2020 €/m² SHAB</v>
      </c>
      <c r="H14" s="23" t="str">
        <f t="shared" si="3"/>
        <v>2232 €/m² SHAB</v>
      </c>
      <c r="I14" s="23" t="str">
        <f t="shared" si="3"/>
        <v>2098 €/m² SHAB</v>
      </c>
      <c r="J14" s="65" t="str">
        <f t="shared" si="3"/>
        <v>2103 €/m² SHAB</v>
      </c>
      <c r="K14" s="87" t="str">
        <f>ROUND(K$7/K13,0)&amp;" €/m² SHAB"</f>
        <v>2395 €/m² SHAB</v>
      </c>
      <c r="L14" s="23" t="str">
        <f>ROUND(L$7/L13,0)&amp;" €/m² SHAB"</f>
        <v>2329 €/m² SHAB</v>
      </c>
      <c r="M14" s="23" t="str">
        <f>ROUND(M$7/M13,0)&amp;" €/m² SHAB"</f>
        <v>2329 €/m² SHAB</v>
      </c>
    </row>
    <row r="15" spans="1:13" x14ac:dyDescent="0.35">
      <c r="A15" s="2" t="s">
        <v>20</v>
      </c>
      <c r="B15" s="23">
        <f>655.84*2+2*77.16</f>
        <v>1466</v>
      </c>
      <c r="C15" s="23">
        <v>0</v>
      </c>
      <c r="D15" s="23">
        <v>0</v>
      </c>
      <c r="E15" s="21">
        <f>507.5*2</f>
        <v>1015</v>
      </c>
      <c r="F15" s="21">
        <f>547.75*2</f>
        <v>1095.5</v>
      </c>
      <c r="G15" s="21">
        <f>29.18*2</f>
        <v>58.36</v>
      </c>
      <c r="H15" s="21">
        <v>384</v>
      </c>
      <c r="I15" s="21">
        <v>0</v>
      </c>
      <c r="J15" s="65">
        <f>165*2</f>
        <v>330</v>
      </c>
      <c r="K15" s="51">
        <f>750*2</f>
        <v>1500</v>
      </c>
      <c r="L15" s="77">
        <f>575*2</f>
        <v>1150</v>
      </c>
      <c r="M15" s="77">
        <f>250*2</f>
        <v>500</v>
      </c>
    </row>
    <row r="16" spans="1:13" x14ac:dyDescent="0.35">
      <c r="A16" s="2" t="s">
        <v>4</v>
      </c>
      <c r="B16" s="23">
        <f>470.86+4837.36</f>
        <v>5308.2199999999993</v>
      </c>
      <c r="C16" s="23">
        <v>1916.48</v>
      </c>
      <c r="D16" s="23">
        <v>1707.35</v>
      </c>
      <c r="E16" s="21">
        <v>3826</v>
      </c>
      <c r="F16" s="21">
        <v>4492.4399999999996</v>
      </c>
      <c r="G16" s="21">
        <v>3262.6</v>
      </c>
      <c r="H16" s="21">
        <v>1536.11</v>
      </c>
      <c r="I16" s="21">
        <v>1708.31</v>
      </c>
      <c r="J16" s="65">
        <v>3197.98</v>
      </c>
      <c r="K16" s="51">
        <v>5326.01</v>
      </c>
      <c r="L16" s="77">
        <v>4123.8599999999997</v>
      </c>
      <c r="M16" s="77">
        <v>1248.2</v>
      </c>
    </row>
    <row r="17" spans="1:13" s="93" customFormat="1" x14ac:dyDescent="0.35">
      <c r="A17" s="89" t="s">
        <v>49</v>
      </c>
      <c r="B17" s="90" t="str">
        <f t="shared" ref="B17:J17" si="4">ROUND(B$6/B16,0)&amp;" €/m² SF"</f>
        <v>1884 €/m² SF</v>
      </c>
      <c r="C17" s="90" t="str">
        <f t="shared" si="4"/>
        <v>1968 €/m² SF</v>
      </c>
      <c r="D17" s="90" t="str">
        <f t="shared" si="4"/>
        <v>2054 €/m² SF</v>
      </c>
      <c r="E17" s="90" t="str">
        <f t="shared" si="4"/>
        <v>1895 €/m² SF</v>
      </c>
      <c r="F17" s="90" t="str">
        <f t="shared" si="4"/>
        <v>1820 €/m² SF</v>
      </c>
      <c r="G17" s="90" t="str">
        <f t="shared" si="4"/>
        <v>1953 €/m² SF</v>
      </c>
      <c r="H17" s="90" t="str">
        <f t="shared" si="4"/>
        <v>1936 €/m² SF</v>
      </c>
      <c r="I17" s="90" t="str">
        <f t="shared" si="4"/>
        <v>2087 €/m² SF</v>
      </c>
      <c r="J17" s="91" t="str">
        <f t="shared" si="4"/>
        <v>1994 €/m² SF</v>
      </c>
      <c r="K17" s="92" t="str">
        <f>ROUND(K$7/K16,0)&amp;" €/m² SF"</f>
        <v>2045 €/m² SF</v>
      </c>
      <c r="L17" s="90" t="str">
        <f>ROUND(L$7/L16,0)&amp;" €/m² SF"</f>
        <v>1994 €/m² SF</v>
      </c>
      <c r="M17" s="90" t="str">
        <f>ROUND(M$7/M16,0)&amp;" €/m² SF"</f>
        <v>1863 €/m² SF</v>
      </c>
    </row>
    <row r="18" spans="1:13" x14ac:dyDescent="0.35">
      <c r="A18" s="2" t="s">
        <v>24</v>
      </c>
      <c r="B18" s="23">
        <f>B16/B11</f>
        <v>93.126666666666651</v>
      </c>
      <c r="C18" s="23">
        <f t="shared" ref="C18:L18" si="5">C16/C11</f>
        <v>83.325217391304349</v>
      </c>
      <c r="D18" s="23">
        <f t="shared" si="5"/>
        <v>85.367499999999993</v>
      </c>
      <c r="E18" s="21">
        <f t="shared" si="5"/>
        <v>81.40425531914893</v>
      </c>
      <c r="F18" s="21">
        <f t="shared" ref="F18:G18" si="6">F16/F11</f>
        <v>89.848799999999997</v>
      </c>
      <c r="G18" s="21">
        <f t="shared" si="6"/>
        <v>59.32</v>
      </c>
      <c r="H18" s="21">
        <f t="shared" si="5"/>
        <v>66.787391304347821</v>
      </c>
      <c r="I18" s="21">
        <f t="shared" ref="I18:J18" si="7">I16/I11</f>
        <v>56.943666666666665</v>
      </c>
      <c r="J18" s="65">
        <f t="shared" si="7"/>
        <v>86.431891891891894</v>
      </c>
      <c r="K18" s="51">
        <f t="shared" ref="K18" si="8">K16/K11</f>
        <v>88.766833333333338</v>
      </c>
      <c r="L18" s="77">
        <f t="shared" si="5"/>
        <v>89.649130434782606</v>
      </c>
      <c r="M18" s="77">
        <f t="shared" ref="M18" si="9">M16/M11</f>
        <v>62.410000000000004</v>
      </c>
    </row>
    <row r="19" spans="1:13" s="27" customFormat="1" x14ac:dyDescent="0.35">
      <c r="A19" s="37" t="s">
        <v>45</v>
      </c>
      <c r="B19" s="38"/>
      <c r="C19" s="38"/>
      <c r="D19" s="38"/>
      <c r="E19" s="38"/>
      <c r="F19" s="38"/>
      <c r="G19" s="38"/>
      <c r="H19" s="38"/>
      <c r="I19" s="38"/>
      <c r="J19" s="66"/>
      <c r="K19" s="52"/>
      <c r="L19" s="78">
        <v>8622268.8302096799</v>
      </c>
      <c r="M19" s="78">
        <v>2443826.2726306738</v>
      </c>
    </row>
    <row r="20" spans="1:13" s="27" customFormat="1" x14ac:dyDescent="0.35">
      <c r="A20" s="81" t="s">
        <v>32</v>
      </c>
      <c r="B20" s="82">
        <f>10449058/B16</f>
        <v>1968.4673958502099</v>
      </c>
      <c r="C20" s="82">
        <v>2100</v>
      </c>
      <c r="D20" s="82">
        <v>2186</v>
      </c>
      <c r="E20" s="82">
        <v>2063</v>
      </c>
      <c r="F20" s="82">
        <v>1978.73</v>
      </c>
      <c r="G20" s="82">
        <f>6893824.00116/G16</f>
        <v>2112.9847364555876</v>
      </c>
      <c r="H20" s="82">
        <v>2085</v>
      </c>
      <c r="I20" s="82">
        <f>3855386.8/I16</f>
        <v>2256.8426105332169</v>
      </c>
      <c r="J20" s="83">
        <f>6863538/J16</f>
        <v>2146.2104203278318</v>
      </c>
      <c r="K20" s="84">
        <f>11415960.8004/K16</f>
        <v>2143.4358554339929</v>
      </c>
      <c r="L20" s="85">
        <f>L19/L16</f>
        <v>2090.8248170911916</v>
      </c>
      <c r="M20" s="85">
        <f>M19/M16</f>
        <v>1957.8803658313361</v>
      </c>
    </row>
    <row r="21" spans="1:13" s="27" customFormat="1" x14ac:dyDescent="0.35">
      <c r="A21" s="94">
        <v>2150</v>
      </c>
      <c r="B21" s="38" t="str">
        <f>IF((B20&gt;$A$21),"problème","ok")</f>
        <v>ok</v>
      </c>
      <c r="C21" s="38" t="str">
        <f t="shared" ref="C21:M21" si="10">IF((C20&gt;$A$21),"problème","ok")</f>
        <v>ok</v>
      </c>
      <c r="D21" s="38" t="str">
        <f t="shared" si="10"/>
        <v>problème</v>
      </c>
      <c r="E21" s="38" t="str">
        <f t="shared" si="10"/>
        <v>ok</v>
      </c>
      <c r="F21" s="38" t="str">
        <f t="shared" si="10"/>
        <v>ok</v>
      </c>
      <c r="G21" s="38" t="str">
        <f t="shared" si="10"/>
        <v>ok</v>
      </c>
      <c r="H21" s="38" t="str">
        <f t="shared" si="10"/>
        <v>ok</v>
      </c>
      <c r="I21" s="38" t="str">
        <f t="shared" si="10"/>
        <v>problème</v>
      </c>
      <c r="J21" s="66" t="str">
        <f t="shared" si="10"/>
        <v>ok</v>
      </c>
      <c r="K21" s="52" t="str">
        <f t="shared" si="10"/>
        <v>ok</v>
      </c>
      <c r="L21" s="78" t="str">
        <f t="shared" si="10"/>
        <v>ok</v>
      </c>
      <c r="M21" s="78" t="str">
        <f t="shared" si="10"/>
        <v>ok</v>
      </c>
    </row>
    <row r="22" spans="1:13" x14ac:dyDescent="0.35">
      <c r="B22" s="28"/>
      <c r="C22" s="22"/>
      <c r="D22" s="67"/>
      <c r="E22" s="68"/>
      <c r="F22" s="68"/>
      <c r="G22" s="68"/>
      <c r="H22" s="68"/>
      <c r="I22" s="68"/>
      <c r="J22" s="68"/>
      <c r="K22" s="80"/>
      <c r="L22" s="79"/>
      <c r="M22" s="79"/>
    </row>
    <row r="23" spans="1:13" x14ac:dyDescent="0.35">
      <c r="A23" s="4" t="s">
        <v>6</v>
      </c>
      <c r="B23" s="29">
        <v>1890.1555030932407</v>
      </c>
      <c r="C23" s="29"/>
      <c r="D23" s="29"/>
      <c r="E23" s="30">
        <v>1900.3931847968545</v>
      </c>
      <c r="F23" s="29"/>
      <c r="G23" s="29"/>
      <c r="H23" s="29">
        <v>1950.7497540177108</v>
      </c>
      <c r="I23" s="29"/>
      <c r="J23" s="69"/>
      <c r="K23" s="53"/>
      <c r="L23" s="30">
        <v>2100</v>
      </c>
      <c r="M23" s="30">
        <v>2100</v>
      </c>
    </row>
    <row r="24" spans="1:13" x14ac:dyDescent="0.35">
      <c r="A24" s="2" t="s">
        <v>7</v>
      </c>
      <c r="B24" s="31">
        <f t="shared" ref="B24:K24" si="11">+B23/2</f>
        <v>945.07775154662033</v>
      </c>
      <c r="C24" s="31">
        <f t="shared" si="11"/>
        <v>0</v>
      </c>
      <c r="D24" s="31">
        <f t="shared" si="11"/>
        <v>0</v>
      </c>
      <c r="E24" s="32">
        <f>+E23/2</f>
        <v>950.19659239842724</v>
      </c>
      <c r="F24" s="32">
        <f t="shared" si="11"/>
        <v>0</v>
      </c>
      <c r="G24" s="32">
        <f t="shared" si="11"/>
        <v>0</v>
      </c>
      <c r="H24" s="31">
        <f>+H23/2</f>
        <v>975.37487700885538</v>
      </c>
      <c r="I24" s="31">
        <f t="shared" si="11"/>
        <v>0</v>
      </c>
      <c r="J24" s="70">
        <f t="shared" si="11"/>
        <v>0</v>
      </c>
      <c r="K24" s="54">
        <f t="shared" si="11"/>
        <v>0</v>
      </c>
      <c r="L24" s="32">
        <f t="shared" ref="L24:M24" si="12">+L23/2</f>
        <v>1050</v>
      </c>
      <c r="M24" s="32">
        <f t="shared" si="12"/>
        <v>1050</v>
      </c>
    </row>
    <row r="25" spans="1:13" x14ac:dyDescent="0.35">
      <c r="A25" s="3" t="s">
        <v>8</v>
      </c>
      <c r="B25" s="33"/>
      <c r="C25" s="33"/>
      <c r="D25" s="33"/>
      <c r="E25" s="34"/>
      <c r="F25" s="33"/>
      <c r="G25" s="33"/>
      <c r="H25" s="33"/>
      <c r="I25" s="33"/>
      <c r="J25" s="71"/>
      <c r="K25" s="55"/>
      <c r="L25" s="34"/>
      <c r="M25" s="34"/>
    </row>
    <row r="26" spans="1:13" x14ac:dyDescent="0.35">
      <c r="A26" s="4" t="s">
        <v>9</v>
      </c>
      <c r="B26" s="35">
        <f>+B23*B13+B24*B15</f>
        <v>10000000.000000006</v>
      </c>
      <c r="C26" s="35">
        <f>+C23*C13+C24*C15</f>
        <v>0</v>
      </c>
      <c r="D26" s="35">
        <f>+D23*D13+D24*D15</f>
        <v>0</v>
      </c>
      <c r="E26" s="36">
        <f t="shared" ref="E26:F26" si="13">+E23*E13+E24*E15</f>
        <v>7270904.325032765</v>
      </c>
      <c r="F26" s="36">
        <f t="shared" si="13"/>
        <v>0</v>
      </c>
      <c r="G26" s="36">
        <f t="shared" ref="G26:L26" si="14">+G23*G13+G24*G15</f>
        <v>0</v>
      </c>
      <c r="H26" s="35">
        <f t="shared" si="14"/>
        <v>2973918</v>
      </c>
      <c r="I26" s="35">
        <f t="shared" si="14"/>
        <v>0</v>
      </c>
      <c r="J26" s="72">
        <f t="shared" si="14"/>
        <v>0</v>
      </c>
      <c r="K26" s="56">
        <f t="shared" si="14"/>
        <v>0</v>
      </c>
      <c r="L26" s="36">
        <f t="shared" si="14"/>
        <v>8623314</v>
      </c>
      <c r="M26" s="36">
        <f t="shared" ref="M26" si="15">+M23*M13+M24*M15</f>
        <v>2621220</v>
      </c>
    </row>
    <row r="28" spans="1:13" ht="43.5" x14ac:dyDescent="0.35">
      <c r="A28" s="24" t="s">
        <v>21</v>
      </c>
      <c r="B28" s="8"/>
      <c r="C28" s="8"/>
      <c r="D28" s="8"/>
      <c r="E28" s="6"/>
      <c r="F28" s="6"/>
      <c r="G28" s="6"/>
      <c r="H28" s="6"/>
      <c r="I28" s="6"/>
      <c r="J28" s="6"/>
      <c r="K28" s="6"/>
      <c r="L28" s="6"/>
      <c r="M28" s="6"/>
    </row>
    <row r="29" spans="1:13" x14ac:dyDescent="0.35">
      <c r="A29" s="25"/>
      <c r="B29" s="9">
        <f t="shared" ref="B29:K29" si="16">2100*B13+1050*B15</f>
        <v>11110197</v>
      </c>
      <c r="C29" s="9">
        <f t="shared" si="16"/>
        <v>4024608</v>
      </c>
      <c r="D29" s="9">
        <f t="shared" si="16"/>
        <v>3585435</v>
      </c>
      <c r="E29" s="9">
        <f t="shared" si="16"/>
        <v>8034600</v>
      </c>
      <c r="F29" s="9">
        <f t="shared" si="16"/>
        <v>9378915</v>
      </c>
      <c r="G29" s="9">
        <f t="shared" si="16"/>
        <v>6687072</v>
      </c>
      <c r="H29" s="9">
        <f t="shared" si="16"/>
        <v>3201450</v>
      </c>
      <c r="I29" s="9">
        <f t="shared" si="16"/>
        <v>3568551</v>
      </c>
      <c r="J29" s="9">
        <f t="shared" si="16"/>
        <v>6715758</v>
      </c>
      <c r="K29" s="9">
        <f t="shared" si="16"/>
        <v>11125506.000000002</v>
      </c>
      <c r="L29" s="10"/>
      <c r="M29" s="10"/>
    </row>
    <row r="30" spans="1:13" x14ac:dyDescent="0.35">
      <c r="A30" s="8" t="s">
        <v>10</v>
      </c>
      <c r="B30" s="11">
        <f t="shared" ref="B30:K30" si="17">+B29-B6</f>
        <v>1110197</v>
      </c>
      <c r="C30" s="11">
        <f t="shared" si="17"/>
        <v>252608</v>
      </c>
      <c r="D30" s="11">
        <f t="shared" si="17"/>
        <v>78994.060000000056</v>
      </c>
      <c r="E30" s="11">
        <f t="shared" si="17"/>
        <v>784600</v>
      </c>
      <c r="F30" s="11">
        <f t="shared" si="17"/>
        <v>1201700</v>
      </c>
      <c r="G30" s="11">
        <f t="shared" si="17"/>
        <v>313787</v>
      </c>
      <c r="H30" s="11">
        <f t="shared" si="17"/>
        <v>227532</v>
      </c>
      <c r="I30" s="11">
        <f t="shared" si="17"/>
        <v>3775</v>
      </c>
      <c r="J30" s="11">
        <f t="shared" si="17"/>
        <v>338758</v>
      </c>
      <c r="K30" s="11">
        <f t="shared" si="17"/>
        <v>11125506.000000002</v>
      </c>
      <c r="L30" s="10"/>
      <c r="M30" s="10"/>
    </row>
    <row r="32" spans="1:13" x14ac:dyDescent="0.35">
      <c r="E32" t="s">
        <v>41</v>
      </c>
      <c r="F32" s="40">
        <f>E13</f>
        <v>3318.5</v>
      </c>
      <c r="G32" s="42">
        <f>F32/F34</f>
        <v>0.86735493988499734</v>
      </c>
      <c r="H32" s="41"/>
    </row>
    <row r="33" spans="5:8" x14ac:dyDescent="0.35">
      <c r="E33" t="s">
        <v>42</v>
      </c>
      <c r="F33" s="40">
        <f>E15/2</f>
        <v>507.5</v>
      </c>
      <c r="G33" s="42">
        <f>F33/F34</f>
        <v>0.1326450601150026</v>
      </c>
      <c r="H33" s="41"/>
    </row>
    <row r="34" spans="5:8" x14ac:dyDescent="0.35">
      <c r="E34" t="s">
        <v>44</v>
      </c>
      <c r="F34" s="40">
        <f>E16</f>
        <v>3826</v>
      </c>
    </row>
    <row r="35" spans="5:8" x14ac:dyDescent="0.35">
      <c r="E35" t="s">
        <v>43</v>
      </c>
      <c r="F35" s="41">
        <f>E6</f>
        <v>7250000</v>
      </c>
    </row>
    <row r="36" spans="5:8" x14ac:dyDescent="0.35">
      <c r="F36" s="41">
        <f>F35/E16</f>
        <v>1894.929430214323</v>
      </c>
      <c r="H36" s="41"/>
    </row>
  </sheetData>
  <conditionalFormatting sqref="B21:M21">
    <cfRule type="expression" dxfId="0" priority="1">
      <formula>(B20&gt;$A$21)</formula>
    </cfRule>
  </conditionalFormatting>
  <dataValidations disablePrompts="1" count="1">
    <dataValidation type="list" allowBlank="1" showInputMessage="1" showErrorMessage="1" sqref="B5:M5">
      <formula1>"MDV,collectif"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DENNEMONT</dc:creator>
  <cp:lastModifiedBy>Michel</cp:lastModifiedBy>
  <dcterms:created xsi:type="dcterms:W3CDTF">2018-09-25T06:30:26Z</dcterms:created>
  <dcterms:modified xsi:type="dcterms:W3CDTF">2018-10-21T06:27:17Z</dcterms:modified>
</cp:coreProperties>
</file>