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55"/>
  </bookViews>
  <sheets>
    <sheet name="Devis" sheetId="11" r:id="rId1"/>
    <sheet name="Recap" sheetId="6" state="hidden" r:id="rId2"/>
    <sheet name="Hebdomadaire" sheetId="7" r:id="rId3"/>
    <sheet name="Mensuel" sheetId="8" r:id="rId4"/>
    <sheet name="Parametres" sheetId="10" state="hidden" r:id="rId5"/>
    <sheet name="JF" sheetId="9" state="hidden" r:id="rId6"/>
  </sheets>
  <definedNames>
    <definedName name="JF">JF!$B$1:$C$36</definedName>
    <definedName name="JJF">JF!$B$1:$B$36</definedName>
    <definedName name="masemaine">Hebdomadaire!$B$7:$H$7</definedName>
    <definedName name="rangsemaine">Parametres!$B$1:$G$1</definedName>
    <definedName name="semaine">Hebdomadaire!$C$2</definedName>
  </definedNames>
  <calcPr calcId="152511" iterateDelta="1E-4"/>
</workbook>
</file>

<file path=xl/calcChain.xml><?xml version="1.0" encoding="utf-8"?>
<calcChain xmlns="http://schemas.openxmlformats.org/spreadsheetml/2006/main">
  <c r="G11" i="11" l="1"/>
  <c r="G12" i="11"/>
  <c r="G13" i="11"/>
  <c r="G14" i="11"/>
  <c r="G15" i="11"/>
  <c r="G10" i="11"/>
  <c r="A13" i="9"/>
  <c r="B22" i="9" s="1"/>
  <c r="B12" i="9"/>
  <c r="B11" i="9"/>
  <c r="B10" i="9"/>
  <c r="B9" i="9"/>
  <c r="B8" i="9"/>
  <c r="B5" i="9"/>
  <c r="B4" i="9"/>
  <c r="B2" i="9"/>
  <c r="B7" i="9" s="1"/>
  <c r="B1" i="9"/>
  <c r="B17" i="9" l="1"/>
  <c r="B20" i="9"/>
  <c r="A25" i="9"/>
  <c r="B23" i="9"/>
  <c r="B13" i="9"/>
  <c r="B24" i="9"/>
  <c r="B14" i="9"/>
  <c r="B15" i="9" s="1"/>
  <c r="B21" i="9"/>
  <c r="B16" i="9"/>
  <c r="B6" i="9"/>
  <c r="B3" i="9"/>
  <c r="I15" i="11"/>
  <c r="I14" i="11"/>
  <c r="I13" i="11"/>
  <c r="I12" i="11"/>
  <c r="I11" i="11"/>
  <c r="I10" i="11"/>
  <c r="B34" i="9" l="1"/>
  <c r="B32" i="9"/>
  <c r="B36" i="9"/>
  <c r="B29" i="9"/>
  <c r="B35" i="9"/>
  <c r="B26" i="9"/>
  <c r="B33" i="9"/>
  <c r="B25" i="9"/>
  <c r="B28" i="9"/>
  <c r="B18" i="9"/>
  <c r="B19" i="9"/>
  <c r="B31" i="9" l="1"/>
  <c r="B30" i="9"/>
  <c r="B27" i="9"/>
  <c r="B5" i="10"/>
  <c r="B4" i="10"/>
  <c r="C2" i="10"/>
  <c r="C4" i="10" s="1"/>
  <c r="C5" i="10" l="1"/>
  <c r="D2" i="10"/>
  <c r="C6" i="8"/>
  <c r="C7" i="8" s="1"/>
  <c r="D2" i="8"/>
  <c r="E2" i="10" l="1"/>
  <c r="D4" i="10"/>
  <c r="D5" i="10"/>
  <c r="B6" i="8"/>
  <c r="D6" i="8"/>
  <c r="D7" i="8" s="1"/>
  <c r="C9" i="8"/>
  <c r="C10" i="8" s="1"/>
  <c r="F2" i="10" l="1"/>
  <c r="E5" i="10"/>
  <c r="E4" i="10"/>
  <c r="C12" i="8"/>
  <c r="C13" i="8" s="1"/>
  <c r="B9" i="8"/>
  <c r="D9" i="8"/>
  <c r="D10" i="8" s="1"/>
  <c r="E6" i="8"/>
  <c r="E7" i="8" s="1"/>
  <c r="G2" i="10" l="1"/>
  <c r="F5" i="10"/>
  <c r="F4" i="10"/>
  <c r="E9" i="8"/>
  <c r="E10" i="8" s="1"/>
  <c r="F6" i="8"/>
  <c r="F7" i="8" s="1"/>
  <c r="C20" i="8"/>
  <c r="C21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20" i="8"/>
  <c r="D21" i="8" s="1"/>
  <c r="C28" i="8"/>
  <c r="C29" i="8" s="1"/>
  <c r="B20" i="8"/>
  <c r="C7" i="7"/>
  <c r="B6" i="7"/>
  <c r="C31" i="8" l="1"/>
  <c r="C32" i="8" s="1"/>
  <c r="D28" i="8"/>
  <c r="D29" i="8" s="1"/>
  <c r="B28" i="8"/>
  <c r="E20" i="8"/>
  <c r="E21" i="8" s="1"/>
  <c r="F12" i="8"/>
  <c r="F13" i="8" s="1"/>
  <c r="G9" i="8"/>
  <c r="G10" i="8" s="1"/>
  <c r="H6" i="8"/>
  <c r="H7" i="8" s="1"/>
  <c r="D7" i="7"/>
  <c r="I6" i="8" l="1"/>
  <c r="I7" i="8" s="1"/>
  <c r="E28" i="8"/>
  <c r="E29" i="8" s="1"/>
  <c r="H9" i="8"/>
  <c r="H10" i="8" s="1"/>
  <c r="G12" i="8"/>
  <c r="G13" i="8" s="1"/>
  <c r="F20" i="8"/>
  <c r="F21" i="8" s="1"/>
  <c r="B31" i="8"/>
  <c r="D31" i="8"/>
  <c r="D32" i="8" s="1"/>
  <c r="E7" i="7"/>
  <c r="G20" i="8" l="1"/>
  <c r="G21" i="8" s="1"/>
  <c r="E31" i="8"/>
  <c r="E32" i="8" s="1"/>
  <c r="H12" i="8"/>
  <c r="H13" i="8" s="1"/>
  <c r="I9" i="8"/>
  <c r="I10" i="8" s="1"/>
  <c r="F28" i="8"/>
  <c r="F29" i="8" s="1"/>
  <c r="F7" i="7"/>
  <c r="H20" i="8" l="1"/>
  <c r="H21" i="8" s="1"/>
  <c r="F31" i="8"/>
  <c r="F32" i="8" s="1"/>
  <c r="G28" i="8"/>
  <c r="G29" i="8" s="1"/>
  <c r="I12" i="8"/>
  <c r="I13" i="8" s="1"/>
  <c r="G7" i="7"/>
  <c r="H28" i="8" l="1"/>
  <c r="H29" i="8" s="1"/>
  <c r="G31" i="8"/>
  <c r="G32" i="8" s="1"/>
  <c r="I20" i="8"/>
  <c r="I21" i="8" s="1"/>
  <c r="H7" i="7"/>
  <c r="I28" i="8" l="1"/>
  <c r="I29" i="8" s="1"/>
  <c r="H31" i="8"/>
  <c r="H32" i="8" s="1"/>
  <c r="H6" i="7"/>
  <c r="I31" i="8" l="1"/>
  <c r="I32" i="8" s="1"/>
</calcChain>
</file>

<file path=xl/sharedStrings.xml><?xml version="1.0" encoding="utf-8"?>
<sst xmlns="http://schemas.openxmlformats.org/spreadsheetml/2006/main" count="154" uniqueCount="91">
  <si>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</si>
  <si>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</si>
  <si>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</si>
  <si>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</si>
  <si>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</si>
  <si>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</si>
  <si>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</si>
  <si>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</si>
  <si>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</si>
  <si>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</si>
  <si>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</si>
  <si>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</si>
  <si>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</si>
  <si>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</si>
  <si>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</si>
  <si>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</si>
  <si>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</si>
  <si>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</si>
  <si>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</si>
  <si>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</si>
  <si>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</si>
  <si>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</si>
  <si>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</si>
  <si>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</si>
  <si>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</si>
  <si>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</si>
  <si>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</si>
  <si>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</si>
  <si>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</si>
  <si>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</si>
  <si>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</si>
  <si>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</si>
  <si>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Réalisé A-1 Vente</t>
  </si>
  <si>
    <t>Réalisé A-1 Cession</t>
  </si>
  <si>
    <t>TOTAL</t>
  </si>
  <si>
    <t>Ecart prévisionnel 
vs A-1 en €</t>
  </si>
  <si>
    <t>Ecart prév 
vs A-1 en %</t>
  </si>
  <si>
    <t>15 155,00 €</t>
  </si>
  <si>
    <t>831 153,00 €</t>
  </si>
  <si>
    <t>846 308,00 €</t>
  </si>
  <si>
    <t>-729 907,10 €</t>
  </si>
  <si>
    <t>Total Vente Neuf + prévision</t>
  </si>
  <si>
    <t>Total Cession / Occasion + prévision</t>
  </si>
  <si>
    <t>OBJECTIF CA</t>
  </si>
  <si>
    <t>% 
de progression</t>
  </si>
  <si>
    <t xml:space="preserve">DEVIS </t>
  </si>
  <si>
    <t>NEUF</t>
  </si>
  <si>
    <t>OCCASION</t>
  </si>
  <si>
    <t>CESSION</t>
  </si>
  <si>
    <t xml:space="preserve">DATE </t>
  </si>
  <si>
    <t>N° CONTRAT 
ou N° DEVIS</t>
  </si>
  <si>
    <t>CIAL</t>
  </si>
  <si>
    <t>CLIENT</t>
  </si>
  <si>
    <t>AC/NC (*)</t>
  </si>
  <si>
    <t>PROBALITÉ EN %</t>
  </si>
  <si>
    <t>DATE RELANCE</t>
  </si>
  <si>
    <t>Prix Tarif Windec HT</t>
  </si>
  <si>
    <t>Montant net HT</t>
  </si>
  <si>
    <t>Remise</t>
  </si>
  <si>
    <t>TFA191738</t>
  </si>
  <si>
    <t>TFA</t>
  </si>
  <si>
    <t>ORANO</t>
  </si>
  <si>
    <t xml:space="preserve">AC </t>
  </si>
  <si>
    <t>TFA191741</t>
  </si>
  <si>
    <t>LEEV</t>
  </si>
  <si>
    <t>EAU191743</t>
  </si>
  <si>
    <t>EAU</t>
  </si>
  <si>
    <t>SKY</t>
  </si>
  <si>
    <t>EAU191751</t>
  </si>
  <si>
    <t>LCB</t>
  </si>
  <si>
    <t>NC</t>
  </si>
  <si>
    <t>LRI191743</t>
  </si>
  <si>
    <t>LRI</t>
  </si>
  <si>
    <t>EUROMAT</t>
  </si>
  <si>
    <t>LRI191744</t>
  </si>
  <si>
    <t>T2I</t>
  </si>
  <si>
    <t>devis</t>
  </si>
  <si>
    <t xml:space="preserve">date : </t>
  </si>
  <si>
    <t xml:space="preserve">relance : </t>
  </si>
  <si>
    <t>relance :  TFA191738</t>
  </si>
  <si>
    <t>relance :  TFA191741</t>
  </si>
  <si>
    <t>relance :  EAU191743</t>
  </si>
  <si>
    <t>relance :  EAU191751</t>
  </si>
  <si>
    <t>relance :  LRI191743</t>
  </si>
  <si>
    <t>relance :  LRI191744</t>
  </si>
  <si>
    <t>date :  TFA191738</t>
  </si>
  <si>
    <t>date :  TFA191741</t>
  </si>
  <si>
    <t>date :  EAU191743</t>
  </si>
  <si>
    <t>date :  EAU191751</t>
  </si>
  <si>
    <t>date :  LRI191743</t>
  </si>
  <si>
    <t>date :  LRI191744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</si>
</sst>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SEM. &quot;0"/>
    <numFmt numFmtId="165" formatCode="dd"/>
    <numFmt numFmtId="166" formatCode="mmmm\ yyyy"/>
    <numFmt numFmtId="167" formatCode="&quot;s&quot;0"/>
    <numFmt numFmtId="168" formatCode="#,##0.00&quot; €&quot;;[Red]\-#,##0.00&quot; €&quot;"/>
    <numFmt numFmtId="169" formatCode="#,##0.00\ [$€-40C];[Red]\-#,##0.00\ [$€-40C]"/>
    <numFmt numFmtId="170" formatCode="ddd\ dd/mm"/>
  </numFmts>
  <fonts count="34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Arial"/>
      <family val="2"/>
      <charset val="1"/>
    </font>
    <font>
      <sz val="10"/>
      <color indexed="8"/>
      <name val="Arial"/>
      <family val="2"/>
      <charset val="1"/>
    </font>
    <font>
      <b/>
      <sz val="10"/>
      <color indexed="8"/>
      <name val="Arial"/>
      <family val="2"/>
      <charset val="1"/>
    </font>
    <font>
      <sz val="10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indexed="40"/>
        <bgColor indexed="49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  <xf numFmtId="0" fontId="29" fillId="0" borderId="0"/>
  </cellStyleXfs>
  <cellXfs count="95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8" fillId="6" borderId="15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2" fillId="0" borderId="0" xfId="0" applyFont="1" applyFill="1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167" fontId="14" fillId="0" borderId="0" xfId="0" applyNumberFormat="1" applyFont="1" applyBorder="1" applyAlignment="1">
      <alignment horizontal="center" vertical="top" textRotation="90"/>
    </xf>
    <xf numFmtId="167" fontId="15" fillId="0" borderId="0" xfId="0" applyNumberFormat="1" applyFont="1" applyBorder="1" applyAlignment="1">
      <alignment horizontal="center" vertical="top" textRotation="90"/>
    </xf>
    <xf numFmtId="167" fontId="17" fillId="5" borderId="13" xfId="1" applyNumberFormat="1" applyFont="1" applyFill="1" applyBorder="1" applyAlignment="1">
      <alignment horizontal="center" vertical="top" textRotation="90"/>
    </xf>
    <xf numFmtId="14" fontId="0" fillId="0" borderId="0" xfId="0" applyNumberFormat="1" applyFill="1" applyAlignment="1">
      <alignment horizontal="right" vertical="center" indent="1"/>
    </xf>
    <xf numFmtId="0" fontId="25" fillId="0" borderId="0" xfId="0" applyFont="1">
      <alignment vertical="center"/>
    </xf>
    <xf numFmtId="166" fontId="26" fillId="0" borderId="7" xfId="0" applyNumberFormat="1" applyFont="1" applyFill="1" applyBorder="1">
      <alignment vertical="center"/>
    </xf>
    <xf numFmtId="0" fontId="27" fillId="0" borderId="7" xfId="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17" fontId="30" fillId="0" borderId="16" xfId="6" applyNumberFormat="1" applyFont="1" applyBorder="1" applyAlignment="1">
      <alignment vertical="center" wrapText="1"/>
    </xf>
    <xf numFmtId="0" fontId="31" fillId="0" borderId="16" xfId="6" applyFont="1" applyBorder="1" applyAlignment="1">
      <alignment vertical="top" wrapText="1"/>
    </xf>
    <xf numFmtId="0" fontId="31" fillId="0" borderId="17" xfId="6" applyFont="1" applyBorder="1" applyAlignment="1">
      <alignment vertical="center" wrapText="1"/>
    </xf>
    <xf numFmtId="0" fontId="29" fillId="0" borderId="0" xfId="6"/>
    <xf numFmtId="0" fontId="31" fillId="0" borderId="18" xfId="6" applyFont="1" applyBorder="1" applyAlignment="1">
      <alignment horizontal="center" vertical="center" wrapText="1"/>
    </xf>
    <xf numFmtId="0" fontId="31" fillId="0" borderId="20" xfId="6" applyFont="1" applyBorder="1" applyAlignment="1">
      <alignment horizontal="center" vertical="center" wrapText="1"/>
    </xf>
    <xf numFmtId="0" fontId="31" fillId="0" borderId="0" xfId="6" applyFont="1" applyAlignment="1">
      <alignment vertical="top" wrapText="1"/>
    </xf>
    <xf numFmtId="0" fontId="32" fillId="0" borderId="18" xfId="6" applyFont="1" applyBorder="1" applyAlignment="1">
      <alignment horizontal="center" vertical="center" wrapText="1"/>
    </xf>
    <xf numFmtId="0" fontId="32" fillId="0" borderId="20" xfId="6" applyFont="1" applyBorder="1" applyAlignment="1">
      <alignment horizontal="center" vertical="center" wrapText="1"/>
    </xf>
    <xf numFmtId="10" fontId="32" fillId="0" borderId="20" xfId="6" applyNumberFormat="1" applyFont="1" applyBorder="1" applyAlignment="1">
      <alignment horizontal="center" vertical="center" wrapText="1"/>
    </xf>
    <xf numFmtId="0" fontId="31" fillId="0" borderId="21" xfId="6" applyFont="1" applyBorder="1" applyAlignment="1">
      <alignment vertical="center" wrapText="1"/>
    </xf>
    <xf numFmtId="0" fontId="31" fillId="0" borderId="21" xfId="6" applyFont="1" applyBorder="1" applyAlignment="1">
      <alignment vertical="top" wrapText="1"/>
    </xf>
    <xf numFmtId="0" fontId="31" fillId="0" borderId="0" xfId="6" applyFont="1" applyAlignment="1">
      <alignment vertical="center" wrapText="1"/>
    </xf>
    <xf numFmtId="0" fontId="32" fillId="9" borderId="18" xfId="6" applyFont="1" applyFill="1" applyBorder="1" applyAlignment="1">
      <alignment horizontal="center" vertical="center" wrapText="1"/>
    </xf>
    <xf numFmtId="0" fontId="32" fillId="9" borderId="20" xfId="6" applyFont="1" applyFill="1" applyBorder="1" applyAlignment="1">
      <alignment horizontal="center" vertical="center" wrapText="1"/>
    </xf>
    <xf numFmtId="10" fontId="32" fillId="9" borderId="20" xfId="6" applyNumberFormat="1" applyFont="1" applyFill="1" applyBorder="1" applyAlignment="1">
      <alignment horizontal="center" vertical="center" wrapText="1"/>
    </xf>
    <xf numFmtId="14" fontId="29" fillId="0" borderId="0" xfId="6" applyNumberFormat="1"/>
    <xf numFmtId="10" fontId="29" fillId="0" borderId="0" xfId="6" applyNumberFormat="1"/>
    <xf numFmtId="169" fontId="29" fillId="0" borderId="0" xfId="6" applyNumberFormat="1"/>
    <xf numFmtId="9" fontId="29" fillId="0" borderId="0" xfId="6" applyNumberFormat="1"/>
    <xf numFmtId="0" fontId="20" fillId="0" borderId="23" xfId="0" applyFont="1" applyBorder="1" applyAlignment="1">
      <alignment horizontal="center"/>
    </xf>
    <xf numFmtId="14" fontId="21" fillId="0" borderId="22" xfId="0" applyNumberFormat="1" applyFont="1" applyBorder="1" applyAlignment="1">
      <alignment horizontal="center"/>
    </xf>
    <xf numFmtId="14" fontId="0" fillId="0" borderId="0" xfId="0" applyNumberFormat="1">
      <alignment vertical="center"/>
    </xf>
    <xf numFmtId="14" fontId="33" fillId="0" borderId="0" xfId="6" applyNumberFormat="1" applyFont="1" applyBorder="1" applyAlignment="1">
      <alignment vertical="center" wrapText="1"/>
    </xf>
    <xf numFmtId="0" fontId="33" fillId="0" borderId="0" xfId="6" applyFont="1" applyBorder="1" applyAlignment="1">
      <alignment vertical="center" wrapText="1"/>
    </xf>
    <xf numFmtId="9" fontId="33" fillId="0" borderId="0" xfId="6" applyNumberFormat="1" applyFont="1" applyBorder="1" applyAlignment="1">
      <alignment vertical="center" wrapText="1"/>
    </xf>
    <xf numFmtId="170" fontId="33" fillId="0" borderId="0" xfId="6" applyNumberFormat="1" applyFont="1" applyBorder="1" applyAlignment="1">
      <alignment vertical="center" wrapText="1"/>
    </xf>
    <xf numFmtId="169" fontId="33" fillId="0" borderId="0" xfId="6" applyNumberFormat="1" applyFont="1" applyBorder="1" applyAlignment="1">
      <alignment vertical="center" wrapText="1"/>
    </xf>
    <xf numFmtId="10" fontId="33" fillId="9" borderId="0" xfId="6" applyNumberFormat="1" applyFont="1" applyFill="1" applyBorder="1" applyAlignment="1">
      <alignment vertical="center" wrapText="1"/>
    </xf>
    <xf numFmtId="0" fontId="33" fillId="9" borderId="0" xfId="6" applyFont="1" applyFill="1" applyBorder="1" applyAlignment="1">
      <alignment vertical="center" wrapText="1"/>
    </xf>
    <xf numFmtId="0" fontId="33" fillId="0" borderId="0" xfId="6" applyFont="1" applyBorder="1" applyAlignment="1"/>
    <xf numFmtId="14" fontId="33" fillId="0" borderId="0" xfId="6" applyNumberFormat="1" applyFont="1" applyBorder="1" applyAlignment="1"/>
    <xf numFmtId="10" fontId="33" fillId="0" borderId="0" xfId="6" applyNumberFormat="1" applyFont="1" applyBorder="1" applyAlignment="1"/>
    <xf numFmtId="9" fontId="33" fillId="0" borderId="0" xfId="6" applyNumberFormat="1" applyFont="1" applyBorder="1" applyAlignment="1"/>
    <xf numFmtId="169" fontId="33" fillId="0" borderId="0" xfId="6" applyNumberFormat="1" applyFont="1" applyBorder="1" applyAlignment="1"/>
    <xf numFmtId="0" fontId="31" fillId="0" borderId="24" xfId="6" applyFont="1" applyBorder="1" applyAlignment="1">
      <alignment horizontal="center" vertical="center" wrapText="1"/>
    </xf>
    <xf numFmtId="0" fontId="32" fillId="0" borderId="28" xfId="6" applyFont="1" applyBorder="1" applyAlignment="1">
      <alignment horizontal="center" vertical="center" wrapText="1"/>
    </xf>
    <xf numFmtId="0" fontId="31" fillId="0" borderId="16" xfId="6" applyFont="1" applyBorder="1" applyAlignment="1">
      <alignment vertical="center" wrapText="1"/>
    </xf>
    <xf numFmtId="0" fontId="31" fillId="0" borderId="19" xfId="6" applyFont="1" applyBorder="1" applyAlignment="1">
      <alignment horizontal="center" vertical="center" wrapText="1"/>
    </xf>
    <xf numFmtId="0" fontId="32" fillId="0" borderId="19" xfId="6" applyFont="1" applyBorder="1" applyAlignment="1">
      <alignment horizontal="center" vertical="center" wrapText="1"/>
    </xf>
    <xf numFmtId="0" fontId="31" fillId="0" borderId="0" xfId="6" applyFont="1" applyBorder="1" applyAlignment="1">
      <alignment vertical="center" wrapText="1"/>
    </xf>
    <xf numFmtId="168" fontId="32" fillId="9" borderId="19" xfId="6" applyNumberFormat="1" applyFont="1" applyFill="1" applyBorder="1" applyAlignment="1">
      <alignment horizontal="center" vertical="center" wrapText="1"/>
    </xf>
    <xf numFmtId="0" fontId="32" fillId="9" borderId="19" xfId="6" applyFont="1" applyFill="1" applyBorder="1" applyAlignment="1">
      <alignment horizontal="center" vertical="center" wrapText="1"/>
    </xf>
    <xf numFmtId="0" fontId="32" fillId="10" borderId="25" xfId="6" applyFont="1" applyFill="1" applyBorder="1" applyAlignment="1">
      <alignment horizontal="center" vertical="center" wrapText="1"/>
    </xf>
    <xf numFmtId="0" fontId="32" fillId="0" borderId="26" xfId="6" applyFont="1" applyBorder="1" applyAlignment="1">
      <alignment horizontal="center" vertical="center" wrapText="1"/>
    </xf>
    <xf numFmtId="0" fontId="32" fillId="0" borderId="27" xfId="6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ill="1" applyAlignment="1">
      <alignment horizontal="left" vertical="center" indent="1"/>
    </xf>
    <xf numFmtId="0" fontId="0" fillId="11" borderId="0" xfId="0" applyFill="1">
      <alignment vertical="center"/>
    </xf>
    <xf numFmtId="0" fontId="0" fillId="11" borderId="15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</cellXfs>
  <cellStyles count="7">
    <cellStyle name="Calcul" xfId="2" builtinId="22"/>
    <cellStyle name="Excel Built-in Normal" xfId="6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2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16"/>
</file>

<file path=xl/ctrlProps/ctrlProp2.xml><?xml version="1.0" encoding="utf-8"?>
<formControlPr xmlns="http://schemas.microsoft.com/office/spreadsheetml/2009/9/main" objectType="Spin" dx="16" fmlaLink="$C$2" max="3000" min="1904" page="10" val="2019"/>
</file>

<file path=xl/ctrlProps/ctrlProp3.xml><?xml version="1.0" encoding="utf-8"?>
<formControlPr xmlns="http://schemas.microsoft.com/office/spreadsheetml/2009/9/main" objectType="Spin" dx="16" fmlaLink="$E$2" max="12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=""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46806" y="685447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=""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=""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=""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recap" displayName="recap" ref="A1:C7" totalsRowShown="0" headerRowDxfId="8">
  <autoFilter ref="A1:C7"/>
  <tableColumns count="3">
    <tableColumn id="1" name="devis" dataDxfId="5"/>
    <tableColumn id="2" name="date : " dataDxfId="6"/>
    <tableColumn id="3" name="relance : " dataDxfId="7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3"/>
  <sheetViews>
    <sheetView tabSelected="1" workbookViewId="0">
      <selection activeCell="B9" sqref="B9"/>
    </sheetView>
  </sheetViews>
  <sheetFormatPr baseColWidth="10" defaultColWidth="10.7265625" defaultRowHeight="14.5" x14ac:dyDescent="0.35"/>
  <cols>
    <col min="1" max="5" width="10.7265625" style="44"/>
    <col min="6" max="6" width="12" style="44" customWidth="1"/>
    <col min="7" max="8" width="10.7265625" style="44"/>
    <col min="9" max="9" width="12.1796875" style="44" customWidth="1"/>
    <col min="10" max="261" width="10.7265625" style="44"/>
    <col min="262" max="262" width="12" style="44" customWidth="1"/>
    <col min="263" max="264" width="10.7265625" style="44"/>
    <col min="265" max="265" width="12.1796875" style="44" customWidth="1"/>
    <col min="266" max="517" width="10.7265625" style="44"/>
    <col min="518" max="518" width="12" style="44" customWidth="1"/>
    <col min="519" max="520" width="10.7265625" style="44"/>
    <col min="521" max="521" width="12.1796875" style="44" customWidth="1"/>
    <col min="522" max="773" width="10.7265625" style="44"/>
    <col min="774" max="774" width="12" style="44" customWidth="1"/>
    <col min="775" max="776" width="10.7265625" style="44"/>
    <col min="777" max="777" width="12.1796875" style="44" customWidth="1"/>
    <col min="778" max="1029" width="10.7265625" style="44"/>
    <col min="1030" max="1030" width="12" style="44" customWidth="1"/>
    <col min="1031" max="1032" width="10.7265625" style="44"/>
    <col min="1033" max="1033" width="12.1796875" style="44" customWidth="1"/>
    <col min="1034" max="1285" width="10.7265625" style="44"/>
    <col min="1286" max="1286" width="12" style="44" customWidth="1"/>
    <col min="1287" max="1288" width="10.7265625" style="44"/>
    <col min="1289" max="1289" width="12.1796875" style="44" customWidth="1"/>
    <col min="1290" max="1541" width="10.7265625" style="44"/>
    <col min="1542" max="1542" width="12" style="44" customWidth="1"/>
    <col min="1543" max="1544" width="10.7265625" style="44"/>
    <col min="1545" max="1545" width="12.1796875" style="44" customWidth="1"/>
    <col min="1546" max="1797" width="10.7265625" style="44"/>
    <col min="1798" max="1798" width="12" style="44" customWidth="1"/>
    <col min="1799" max="1800" width="10.7265625" style="44"/>
    <col min="1801" max="1801" width="12.1796875" style="44" customWidth="1"/>
    <col min="1802" max="2053" width="10.7265625" style="44"/>
    <col min="2054" max="2054" width="12" style="44" customWidth="1"/>
    <col min="2055" max="2056" width="10.7265625" style="44"/>
    <col min="2057" max="2057" width="12.1796875" style="44" customWidth="1"/>
    <col min="2058" max="2309" width="10.7265625" style="44"/>
    <col min="2310" max="2310" width="12" style="44" customWidth="1"/>
    <col min="2311" max="2312" width="10.7265625" style="44"/>
    <col min="2313" max="2313" width="12.1796875" style="44" customWidth="1"/>
    <col min="2314" max="2565" width="10.7265625" style="44"/>
    <col min="2566" max="2566" width="12" style="44" customWidth="1"/>
    <col min="2567" max="2568" width="10.7265625" style="44"/>
    <col min="2569" max="2569" width="12.1796875" style="44" customWidth="1"/>
    <col min="2570" max="2821" width="10.7265625" style="44"/>
    <col min="2822" max="2822" width="12" style="44" customWidth="1"/>
    <col min="2823" max="2824" width="10.7265625" style="44"/>
    <col min="2825" max="2825" width="12.1796875" style="44" customWidth="1"/>
    <col min="2826" max="3077" width="10.7265625" style="44"/>
    <col min="3078" max="3078" width="12" style="44" customWidth="1"/>
    <col min="3079" max="3080" width="10.7265625" style="44"/>
    <col min="3081" max="3081" width="12.1796875" style="44" customWidth="1"/>
    <col min="3082" max="3333" width="10.7265625" style="44"/>
    <col min="3334" max="3334" width="12" style="44" customWidth="1"/>
    <col min="3335" max="3336" width="10.7265625" style="44"/>
    <col min="3337" max="3337" width="12.1796875" style="44" customWidth="1"/>
    <col min="3338" max="3589" width="10.7265625" style="44"/>
    <col min="3590" max="3590" width="12" style="44" customWidth="1"/>
    <col min="3591" max="3592" width="10.7265625" style="44"/>
    <col min="3593" max="3593" width="12.1796875" style="44" customWidth="1"/>
    <col min="3594" max="3845" width="10.7265625" style="44"/>
    <col min="3846" max="3846" width="12" style="44" customWidth="1"/>
    <col min="3847" max="3848" width="10.7265625" style="44"/>
    <col min="3849" max="3849" width="12.1796875" style="44" customWidth="1"/>
    <col min="3850" max="4101" width="10.7265625" style="44"/>
    <col min="4102" max="4102" width="12" style="44" customWidth="1"/>
    <col min="4103" max="4104" width="10.7265625" style="44"/>
    <col min="4105" max="4105" width="12.1796875" style="44" customWidth="1"/>
    <col min="4106" max="4357" width="10.7265625" style="44"/>
    <col min="4358" max="4358" width="12" style="44" customWidth="1"/>
    <col min="4359" max="4360" width="10.7265625" style="44"/>
    <col min="4361" max="4361" width="12.1796875" style="44" customWidth="1"/>
    <col min="4362" max="4613" width="10.7265625" style="44"/>
    <col min="4614" max="4614" width="12" style="44" customWidth="1"/>
    <col min="4615" max="4616" width="10.7265625" style="44"/>
    <col min="4617" max="4617" width="12.1796875" style="44" customWidth="1"/>
    <col min="4618" max="4869" width="10.7265625" style="44"/>
    <col min="4870" max="4870" width="12" style="44" customWidth="1"/>
    <col min="4871" max="4872" width="10.7265625" style="44"/>
    <col min="4873" max="4873" width="12.1796875" style="44" customWidth="1"/>
    <col min="4874" max="5125" width="10.7265625" style="44"/>
    <col min="5126" max="5126" width="12" style="44" customWidth="1"/>
    <col min="5127" max="5128" width="10.7265625" style="44"/>
    <col min="5129" max="5129" width="12.1796875" style="44" customWidth="1"/>
    <col min="5130" max="5381" width="10.7265625" style="44"/>
    <col min="5382" max="5382" width="12" style="44" customWidth="1"/>
    <col min="5383" max="5384" width="10.7265625" style="44"/>
    <col min="5385" max="5385" width="12.1796875" style="44" customWidth="1"/>
    <col min="5386" max="5637" width="10.7265625" style="44"/>
    <col min="5638" max="5638" width="12" style="44" customWidth="1"/>
    <col min="5639" max="5640" width="10.7265625" style="44"/>
    <col min="5641" max="5641" width="12.1796875" style="44" customWidth="1"/>
    <col min="5642" max="5893" width="10.7265625" style="44"/>
    <col min="5894" max="5894" width="12" style="44" customWidth="1"/>
    <col min="5895" max="5896" width="10.7265625" style="44"/>
    <col min="5897" max="5897" width="12.1796875" style="44" customWidth="1"/>
    <col min="5898" max="6149" width="10.7265625" style="44"/>
    <col min="6150" max="6150" width="12" style="44" customWidth="1"/>
    <col min="6151" max="6152" width="10.7265625" style="44"/>
    <col min="6153" max="6153" width="12.1796875" style="44" customWidth="1"/>
    <col min="6154" max="6405" width="10.7265625" style="44"/>
    <col min="6406" max="6406" width="12" style="44" customWidth="1"/>
    <col min="6407" max="6408" width="10.7265625" style="44"/>
    <col min="6409" max="6409" width="12.1796875" style="44" customWidth="1"/>
    <col min="6410" max="6661" width="10.7265625" style="44"/>
    <col min="6662" max="6662" width="12" style="44" customWidth="1"/>
    <col min="6663" max="6664" width="10.7265625" style="44"/>
    <col min="6665" max="6665" width="12.1796875" style="44" customWidth="1"/>
    <col min="6666" max="6917" width="10.7265625" style="44"/>
    <col min="6918" max="6918" width="12" style="44" customWidth="1"/>
    <col min="6919" max="6920" width="10.7265625" style="44"/>
    <col min="6921" max="6921" width="12.1796875" style="44" customWidth="1"/>
    <col min="6922" max="7173" width="10.7265625" style="44"/>
    <col min="7174" max="7174" width="12" style="44" customWidth="1"/>
    <col min="7175" max="7176" width="10.7265625" style="44"/>
    <col min="7177" max="7177" width="12.1796875" style="44" customWidth="1"/>
    <col min="7178" max="7429" width="10.7265625" style="44"/>
    <col min="7430" max="7430" width="12" style="44" customWidth="1"/>
    <col min="7431" max="7432" width="10.7265625" style="44"/>
    <col min="7433" max="7433" width="12.1796875" style="44" customWidth="1"/>
    <col min="7434" max="7685" width="10.7265625" style="44"/>
    <col min="7686" max="7686" width="12" style="44" customWidth="1"/>
    <col min="7687" max="7688" width="10.7265625" style="44"/>
    <col min="7689" max="7689" width="12.1796875" style="44" customWidth="1"/>
    <col min="7690" max="7941" width="10.7265625" style="44"/>
    <col min="7942" max="7942" width="12" style="44" customWidth="1"/>
    <col min="7943" max="7944" width="10.7265625" style="44"/>
    <col min="7945" max="7945" width="12.1796875" style="44" customWidth="1"/>
    <col min="7946" max="8197" width="10.7265625" style="44"/>
    <col min="8198" max="8198" width="12" style="44" customWidth="1"/>
    <col min="8199" max="8200" width="10.7265625" style="44"/>
    <col min="8201" max="8201" width="12.1796875" style="44" customWidth="1"/>
    <col min="8202" max="8453" width="10.7265625" style="44"/>
    <col min="8454" max="8454" width="12" style="44" customWidth="1"/>
    <col min="8455" max="8456" width="10.7265625" style="44"/>
    <col min="8457" max="8457" width="12.1796875" style="44" customWidth="1"/>
    <col min="8458" max="8709" width="10.7265625" style="44"/>
    <col min="8710" max="8710" width="12" style="44" customWidth="1"/>
    <col min="8711" max="8712" width="10.7265625" style="44"/>
    <col min="8713" max="8713" width="12.1796875" style="44" customWidth="1"/>
    <col min="8714" max="8965" width="10.7265625" style="44"/>
    <col min="8966" max="8966" width="12" style="44" customWidth="1"/>
    <col min="8967" max="8968" width="10.7265625" style="44"/>
    <col min="8969" max="8969" width="12.1796875" style="44" customWidth="1"/>
    <col min="8970" max="9221" width="10.7265625" style="44"/>
    <col min="9222" max="9222" width="12" style="44" customWidth="1"/>
    <col min="9223" max="9224" width="10.7265625" style="44"/>
    <col min="9225" max="9225" width="12.1796875" style="44" customWidth="1"/>
    <col min="9226" max="9477" width="10.7265625" style="44"/>
    <col min="9478" max="9478" width="12" style="44" customWidth="1"/>
    <col min="9479" max="9480" width="10.7265625" style="44"/>
    <col min="9481" max="9481" width="12.1796875" style="44" customWidth="1"/>
    <col min="9482" max="9733" width="10.7265625" style="44"/>
    <col min="9734" max="9734" width="12" style="44" customWidth="1"/>
    <col min="9735" max="9736" width="10.7265625" style="44"/>
    <col min="9737" max="9737" width="12.1796875" style="44" customWidth="1"/>
    <col min="9738" max="9989" width="10.7265625" style="44"/>
    <col min="9990" max="9990" width="12" style="44" customWidth="1"/>
    <col min="9991" max="9992" width="10.7265625" style="44"/>
    <col min="9993" max="9993" width="12.1796875" style="44" customWidth="1"/>
    <col min="9994" max="10245" width="10.7265625" style="44"/>
    <col min="10246" max="10246" width="12" style="44" customWidth="1"/>
    <col min="10247" max="10248" width="10.7265625" style="44"/>
    <col min="10249" max="10249" width="12.1796875" style="44" customWidth="1"/>
    <col min="10250" max="10501" width="10.7265625" style="44"/>
    <col min="10502" max="10502" width="12" style="44" customWidth="1"/>
    <col min="10503" max="10504" width="10.7265625" style="44"/>
    <col min="10505" max="10505" width="12.1796875" style="44" customWidth="1"/>
    <col min="10506" max="10757" width="10.7265625" style="44"/>
    <col min="10758" max="10758" width="12" style="44" customWidth="1"/>
    <col min="10759" max="10760" width="10.7265625" style="44"/>
    <col min="10761" max="10761" width="12.1796875" style="44" customWidth="1"/>
    <col min="10762" max="11013" width="10.7265625" style="44"/>
    <col min="11014" max="11014" width="12" style="44" customWidth="1"/>
    <col min="11015" max="11016" width="10.7265625" style="44"/>
    <col min="11017" max="11017" width="12.1796875" style="44" customWidth="1"/>
    <col min="11018" max="11269" width="10.7265625" style="44"/>
    <col min="11270" max="11270" width="12" style="44" customWidth="1"/>
    <col min="11271" max="11272" width="10.7265625" style="44"/>
    <col min="11273" max="11273" width="12.1796875" style="44" customWidth="1"/>
    <col min="11274" max="11525" width="10.7265625" style="44"/>
    <col min="11526" max="11526" width="12" style="44" customWidth="1"/>
    <col min="11527" max="11528" width="10.7265625" style="44"/>
    <col min="11529" max="11529" width="12.1796875" style="44" customWidth="1"/>
    <col min="11530" max="11781" width="10.7265625" style="44"/>
    <col min="11782" max="11782" width="12" style="44" customWidth="1"/>
    <col min="11783" max="11784" width="10.7265625" style="44"/>
    <col min="11785" max="11785" width="12.1796875" style="44" customWidth="1"/>
    <col min="11786" max="12037" width="10.7265625" style="44"/>
    <col min="12038" max="12038" width="12" style="44" customWidth="1"/>
    <col min="12039" max="12040" width="10.7265625" style="44"/>
    <col min="12041" max="12041" width="12.1796875" style="44" customWidth="1"/>
    <col min="12042" max="12293" width="10.7265625" style="44"/>
    <col min="12294" max="12294" width="12" style="44" customWidth="1"/>
    <col min="12295" max="12296" width="10.7265625" style="44"/>
    <col min="12297" max="12297" width="12.1796875" style="44" customWidth="1"/>
    <col min="12298" max="12549" width="10.7265625" style="44"/>
    <col min="12550" max="12550" width="12" style="44" customWidth="1"/>
    <col min="12551" max="12552" width="10.7265625" style="44"/>
    <col min="12553" max="12553" width="12.1796875" style="44" customWidth="1"/>
    <col min="12554" max="12805" width="10.7265625" style="44"/>
    <col min="12806" max="12806" width="12" style="44" customWidth="1"/>
    <col min="12807" max="12808" width="10.7265625" style="44"/>
    <col min="12809" max="12809" width="12.1796875" style="44" customWidth="1"/>
    <col min="12810" max="13061" width="10.7265625" style="44"/>
    <col min="13062" max="13062" width="12" style="44" customWidth="1"/>
    <col min="13063" max="13064" width="10.7265625" style="44"/>
    <col min="13065" max="13065" width="12.1796875" style="44" customWidth="1"/>
    <col min="13066" max="13317" width="10.7265625" style="44"/>
    <col min="13318" max="13318" width="12" style="44" customWidth="1"/>
    <col min="13319" max="13320" width="10.7265625" style="44"/>
    <col min="13321" max="13321" width="12.1796875" style="44" customWidth="1"/>
    <col min="13322" max="13573" width="10.7265625" style="44"/>
    <col min="13574" max="13574" width="12" style="44" customWidth="1"/>
    <col min="13575" max="13576" width="10.7265625" style="44"/>
    <col min="13577" max="13577" width="12.1796875" style="44" customWidth="1"/>
    <col min="13578" max="13829" width="10.7265625" style="44"/>
    <col min="13830" max="13830" width="12" style="44" customWidth="1"/>
    <col min="13831" max="13832" width="10.7265625" style="44"/>
    <col min="13833" max="13833" width="12.1796875" style="44" customWidth="1"/>
    <col min="13834" max="14085" width="10.7265625" style="44"/>
    <col min="14086" max="14086" width="12" style="44" customWidth="1"/>
    <col min="14087" max="14088" width="10.7265625" style="44"/>
    <col min="14089" max="14089" width="12.1796875" style="44" customWidth="1"/>
    <col min="14090" max="14341" width="10.7265625" style="44"/>
    <col min="14342" max="14342" width="12" style="44" customWidth="1"/>
    <col min="14343" max="14344" width="10.7265625" style="44"/>
    <col min="14345" max="14345" width="12.1796875" style="44" customWidth="1"/>
    <col min="14346" max="14597" width="10.7265625" style="44"/>
    <col min="14598" max="14598" width="12" style="44" customWidth="1"/>
    <col min="14599" max="14600" width="10.7265625" style="44"/>
    <col min="14601" max="14601" width="12.1796875" style="44" customWidth="1"/>
    <col min="14602" max="14853" width="10.7265625" style="44"/>
    <col min="14854" max="14854" width="12" style="44" customWidth="1"/>
    <col min="14855" max="14856" width="10.7265625" style="44"/>
    <col min="14857" max="14857" width="12.1796875" style="44" customWidth="1"/>
    <col min="14858" max="15109" width="10.7265625" style="44"/>
    <col min="15110" max="15110" width="12" style="44" customWidth="1"/>
    <col min="15111" max="15112" width="10.7265625" style="44"/>
    <col min="15113" max="15113" width="12.1796875" style="44" customWidth="1"/>
    <col min="15114" max="15365" width="10.7265625" style="44"/>
    <col min="15366" max="15366" width="12" style="44" customWidth="1"/>
    <col min="15367" max="15368" width="10.7265625" style="44"/>
    <col min="15369" max="15369" width="12.1796875" style="44" customWidth="1"/>
    <col min="15370" max="15621" width="10.7265625" style="44"/>
    <col min="15622" max="15622" width="12" style="44" customWidth="1"/>
    <col min="15623" max="15624" width="10.7265625" style="44"/>
    <col min="15625" max="15625" width="12.1796875" style="44" customWidth="1"/>
    <col min="15626" max="15877" width="10.7265625" style="44"/>
    <col min="15878" max="15878" width="12" style="44" customWidth="1"/>
    <col min="15879" max="15880" width="10.7265625" style="44"/>
    <col min="15881" max="15881" width="12.1796875" style="44" customWidth="1"/>
    <col min="15882" max="16133" width="10.7265625" style="44"/>
    <col min="16134" max="16134" width="12" style="44" customWidth="1"/>
    <col min="16135" max="16136" width="10.7265625" style="44"/>
    <col min="16137" max="16137" width="12.1796875" style="44" customWidth="1"/>
    <col min="16138" max="16384" width="10.7265625" style="44"/>
  </cols>
  <sheetData>
    <row r="1" spans="1:16" ht="16.5" thickTop="1" thickBot="1" x14ac:dyDescent="0.4">
      <c r="A1" s="41"/>
      <c r="B1" s="42"/>
      <c r="C1" s="42"/>
      <c r="D1" s="42"/>
      <c r="E1" s="42"/>
      <c r="F1" s="42"/>
      <c r="G1" s="42"/>
      <c r="H1" s="42"/>
      <c r="I1" s="78"/>
      <c r="J1" s="78"/>
      <c r="K1" s="78"/>
      <c r="L1" s="78"/>
      <c r="M1" s="78"/>
      <c r="N1" s="78"/>
      <c r="O1" s="78"/>
      <c r="P1" s="43"/>
    </row>
    <row r="2" spans="1:16" ht="26" thickTop="1" thickBot="1" x14ac:dyDescent="0.4">
      <c r="A2" s="45" t="s">
        <v>32</v>
      </c>
      <c r="B2" s="79" t="s">
        <v>33</v>
      </c>
      <c r="C2" s="79"/>
      <c r="D2" s="46" t="s">
        <v>34</v>
      </c>
      <c r="E2" s="79" t="s">
        <v>35</v>
      </c>
      <c r="F2" s="79"/>
      <c r="G2" s="79"/>
      <c r="H2" s="79"/>
      <c r="I2" s="46" t="s">
        <v>36</v>
      </c>
      <c r="J2" s="47"/>
      <c r="K2" s="47"/>
      <c r="L2" s="47"/>
      <c r="M2" s="47"/>
      <c r="N2" s="47"/>
      <c r="O2" s="47"/>
      <c r="P2" s="47"/>
    </row>
    <row r="3" spans="1:16" ht="27" thickTop="1" thickBot="1" x14ac:dyDescent="0.4">
      <c r="A3" s="48" t="s">
        <v>37</v>
      </c>
      <c r="B3" s="80" t="s">
        <v>38</v>
      </c>
      <c r="C3" s="80"/>
      <c r="D3" s="49" t="s">
        <v>39</v>
      </c>
      <c r="E3" s="80" t="s">
        <v>40</v>
      </c>
      <c r="F3" s="80"/>
      <c r="G3" s="80"/>
      <c r="H3" s="80"/>
      <c r="I3" s="50">
        <v>-0.86250000000000004</v>
      </c>
      <c r="J3" s="47"/>
      <c r="K3" s="47"/>
      <c r="L3" s="47"/>
      <c r="M3" s="47"/>
      <c r="N3" s="47"/>
      <c r="O3" s="47"/>
      <c r="P3" s="47"/>
    </row>
    <row r="4" spans="1:16" ht="15.5" thickTop="1" thickBot="1" x14ac:dyDescent="0.4">
      <c r="A4" s="51"/>
      <c r="B4" s="52"/>
      <c r="C4" s="52"/>
      <c r="D4" s="52"/>
      <c r="E4" s="52"/>
      <c r="F4" s="52"/>
      <c r="G4" s="52"/>
      <c r="H4" s="52"/>
      <c r="I4" s="52"/>
      <c r="J4" s="47"/>
      <c r="K4" s="47"/>
      <c r="L4" s="47"/>
      <c r="M4" s="47"/>
      <c r="N4" s="47"/>
      <c r="O4" s="47"/>
      <c r="P4" s="47"/>
    </row>
    <row r="5" spans="1:16" ht="38.5" thickTop="1" thickBot="1" x14ac:dyDescent="0.4">
      <c r="A5" s="45" t="s">
        <v>41</v>
      </c>
      <c r="B5" s="79" t="s">
        <v>42</v>
      </c>
      <c r="C5" s="79"/>
      <c r="D5" s="46" t="s">
        <v>34</v>
      </c>
      <c r="E5" s="79" t="s">
        <v>43</v>
      </c>
      <c r="F5" s="79"/>
      <c r="G5" s="79"/>
      <c r="H5" s="79"/>
      <c r="I5" s="46" t="s">
        <v>44</v>
      </c>
      <c r="J5" s="53"/>
      <c r="K5" s="53"/>
      <c r="L5" s="81"/>
      <c r="M5" s="81"/>
      <c r="N5" s="53"/>
      <c r="O5" s="53"/>
      <c r="P5" s="53"/>
    </row>
    <row r="6" spans="1:16" ht="15.5" thickTop="1" thickBot="1" x14ac:dyDescent="0.4">
      <c r="A6" s="54"/>
      <c r="B6" s="82"/>
      <c r="C6" s="82"/>
      <c r="D6" s="55"/>
      <c r="E6" s="83"/>
      <c r="F6" s="83"/>
      <c r="G6" s="83"/>
      <c r="H6" s="83"/>
      <c r="I6" s="56"/>
      <c r="J6" s="53"/>
      <c r="K6" s="53"/>
      <c r="L6" s="53"/>
      <c r="M6" s="53"/>
      <c r="N6" s="53"/>
      <c r="O6" s="53"/>
      <c r="P6" s="53"/>
    </row>
    <row r="7" spans="1:16" ht="15.5" thickTop="1" thickBot="1" x14ac:dyDescent="0.4">
      <c r="A7" s="51"/>
      <c r="B7" s="51"/>
      <c r="C7" s="51"/>
      <c r="D7" s="51"/>
      <c r="E7" s="51"/>
      <c r="F7" s="51"/>
      <c r="G7" s="53"/>
      <c r="H7" s="53"/>
      <c r="I7" s="53"/>
      <c r="J7" s="53"/>
      <c r="K7" s="51"/>
      <c r="L7" s="51"/>
      <c r="M7" s="51"/>
      <c r="N7" s="51"/>
      <c r="O7" s="51"/>
      <c r="P7" s="51"/>
    </row>
    <row r="8" spans="1:16" ht="15" thickTop="1" x14ac:dyDescent="0.35">
      <c r="A8" s="84" t="s">
        <v>45</v>
      </c>
      <c r="B8" s="84"/>
      <c r="C8" s="84"/>
      <c r="D8" s="84"/>
      <c r="E8" s="84"/>
      <c r="F8" s="84"/>
      <c r="G8" s="84"/>
      <c r="H8" s="85" t="s">
        <v>46</v>
      </c>
      <c r="I8" s="85"/>
      <c r="J8" s="85"/>
      <c r="K8" s="86" t="s">
        <v>47</v>
      </c>
      <c r="L8" s="86"/>
      <c r="M8" s="86"/>
      <c r="N8" s="77" t="s">
        <v>48</v>
      </c>
      <c r="O8" s="77"/>
      <c r="P8" s="77"/>
    </row>
    <row r="9" spans="1:16" ht="50" x14ac:dyDescent="0.35">
      <c r="A9" s="76" t="s">
        <v>49</v>
      </c>
      <c r="B9" s="76" t="s">
        <v>50</v>
      </c>
      <c r="C9" s="76" t="s">
        <v>51</v>
      </c>
      <c r="D9" s="76" t="s">
        <v>52</v>
      </c>
      <c r="E9" s="76" t="s">
        <v>53</v>
      </c>
      <c r="F9" s="76" t="s">
        <v>54</v>
      </c>
      <c r="G9" s="76" t="s">
        <v>55</v>
      </c>
      <c r="H9" s="76" t="s">
        <v>56</v>
      </c>
      <c r="I9" s="76" t="s">
        <v>57</v>
      </c>
      <c r="J9" s="76" t="s">
        <v>58</v>
      </c>
      <c r="K9" s="76" t="s">
        <v>56</v>
      </c>
      <c r="L9" s="76" t="s">
        <v>57</v>
      </c>
      <c r="M9" s="76" t="s">
        <v>58</v>
      </c>
      <c r="N9" s="76" t="s">
        <v>56</v>
      </c>
      <c r="O9" s="76" t="s">
        <v>57</v>
      </c>
      <c r="P9" s="76" t="s">
        <v>58</v>
      </c>
    </row>
    <row r="10" spans="1:16" s="71" customFormat="1" ht="12.5" x14ac:dyDescent="0.25">
      <c r="A10" s="64">
        <v>43570</v>
      </c>
      <c r="B10" s="65" t="s">
        <v>59</v>
      </c>
      <c r="C10" s="65" t="s">
        <v>60</v>
      </c>
      <c r="D10" s="65" t="s">
        <v>61</v>
      </c>
      <c r="E10" s="65" t="s">
        <v>62</v>
      </c>
      <c r="F10" s="66">
        <v>0.65</v>
      </c>
      <c r="G10" s="67">
        <f t="shared" ref="G10:G15" si="0">WORKDAY(A10,6,JJF)</f>
        <v>43579</v>
      </c>
      <c r="H10" s="68">
        <v>35000</v>
      </c>
      <c r="I10" s="68">
        <f t="shared" ref="I10:I15" si="1">H10-(H10*J10)</f>
        <v>29750</v>
      </c>
      <c r="J10" s="69">
        <v>0.15</v>
      </c>
      <c r="K10" s="65"/>
      <c r="L10" s="65"/>
      <c r="M10" s="70"/>
      <c r="N10" s="65"/>
      <c r="O10" s="65"/>
      <c r="P10" s="70"/>
    </row>
    <row r="11" spans="1:16" s="71" customFormat="1" ht="12.5" x14ac:dyDescent="0.25">
      <c r="A11" s="72">
        <v>43572</v>
      </c>
      <c r="B11" s="71" t="s">
        <v>63</v>
      </c>
      <c r="C11" s="71" t="s">
        <v>60</v>
      </c>
      <c r="D11" s="71" t="s">
        <v>64</v>
      </c>
      <c r="E11" s="71" t="s">
        <v>62</v>
      </c>
      <c r="F11" s="66">
        <v>0.85</v>
      </c>
      <c r="G11" s="67">
        <f t="shared" si="0"/>
        <v>43581</v>
      </c>
      <c r="H11" s="68">
        <v>12500</v>
      </c>
      <c r="I11" s="68">
        <f t="shared" si="1"/>
        <v>9375</v>
      </c>
      <c r="J11" s="73">
        <v>0.25</v>
      </c>
    </row>
    <row r="12" spans="1:16" s="71" customFormat="1" ht="12.5" x14ac:dyDescent="0.25">
      <c r="A12" s="72">
        <v>43572</v>
      </c>
      <c r="B12" s="71" t="s">
        <v>65</v>
      </c>
      <c r="C12" s="71" t="s">
        <v>66</v>
      </c>
      <c r="D12" s="71" t="s">
        <v>67</v>
      </c>
      <c r="E12" s="71" t="s">
        <v>62</v>
      </c>
      <c r="F12" s="74">
        <v>0.8</v>
      </c>
      <c r="G12" s="67">
        <f t="shared" si="0"/>
        <v>43581</v>
      </c>
      <c r="H12" s="75">
        <v>6500</v>
      </c>
      <c r="I12" s="68">
        <f t="shared" si="1"/>
        <v>4550</v>
      </c>
      <c r="J12" s="73">
        <v>0.3</v>
      </c>
    </row>
    <row r="13" spans="1:16" s="71" customFormat="1" ht="12.5" x14ac:dyDescent="0.25">
      <c r="A13" s="72">
        <v>43572</v>
      </c>
      <c r="B13" s="71" t="s">
        <v>68</v>
      </c>
      <c r="C13" s="71" t="s">
        <v>66</v>
      </c>
      <c r="D13" s="71" t="s">
        <v>69</v>
      </c>
      <c r="E13" s="71" t="s">
        <v>70</v>
      </c>
      <c r="F13" s="74">
        <v>0.45</v>
      </c>
      <c r="G13" s="67">
        <f t="shared" si="0"/>
        <v>43581</v>
      </c>
      <c r="H13" s="75">
        <v>6800</v>
      </c>
      <c r="I13" s="68">
        <f t="shared" si="1"/>
        <v>6120</v>
      </c>
      <c r="J13" s="73">
        <v>0.1</v>
      </c>
    </row>
    <row r="14" spans="1:16" s="71" customFormat="1" ht="12.5" x14ac:dyDescent="0.25">
      <c r="A14" s="72">
        <v>43572</v>
      </c>
      <c r="B14" s="71" t="s">
        <v>71</v>
      </c>
      <c r="C14" s="71" t="s">
        <v>72</v>
      </c>
      <c r="D14" s="71" t="s">
        <v>73</v>
      </c>
      <c r="E14" s="71" t="s">
        <v>62</v>
      </c>
      <c r="F14" s="74">
        <v>0.9</v>
      </c>
      <c r="G14" s="67">
        <f t="shared" si="0"/>
        <v>43581</v>
      </c>
      <c r="H14" s="75">
        <v>45000</v>
      </c>
      <c r="I14" s="68">
        <f t="shared" si="1"/>
        <v>15750</v>
      </c>
      <c r="J14" s="73">
        <v>0.65</v>
      </c>
    </row>
    <row r="15" spans="1:16" s="71" customFormat="1" ht="12.5" x14ac:dyDescent="0.25">
      <c r="A15" s="72">
        <v>43572</v>
      </c>
      <c r="B15" s="71" t="s">
        <v>74</v>
      </c>
      <c r="C15" s="71" t="s">
        <v>72</v>
      </c>
      <c r="D15" s="71" t="s">
        <v>75</v>
      </c>
      <c r="E15" s="71" t="s">
        <v>62</v>
      </c>
      <c r="F15" s="74">
        <v>0.9</v>
      </c>
      <c r="G15" s="67">
        <f t="shared" si="0"/>
        <v>43581</v>
      </c>
      <c r="H15" s="75">
        <v>23500</v>
      </c>
      <c r="I15" s="68">
        <f t="shared" si="1"/>
        <v>9400</v>
      </c>
      <c r="J15" s="73">
        <v>0.6</v>
      </c>
    </row>
    <row r="16" spans="1:16" x14ac:dyDescent="0.35">
      <c r="A16" s="57"/>
      <c r="F16" s="60"/>
      <c r="H16" s="59"/>
      <c r="I16" s="59"/>
      <c r="J16" s="58"/>
    </row>
    <row r="17" spans="1:10" x14ac:dyDescent="0.35">
      <c r="A17" s="57"/>
      <c r="F17" s="60"/>
      <c r="H17" s="59"/>
      <c r="I17" s="59"/>
      <c r="J17" s="58"/>
    </row>
    <row r="18" spans="1:10" x14ac:dyDescent="0.35">
      <c r="A18" s="57"/>
      <c r="F18" s="60"/>
      <c r="H18" s="59"/>
      <c r="I18" s="59"/>
      <c r="J18" s="58"/>
    </row>
    <row r="19" spans="1:10" x14ac:dyDescent="0.35">
      <c r="A19" s="57"/>
      <c r="F19" s="60"/>
      <c r="H19" s="59"/>
      <c r="I19" s="59"/>
      <c r="J19" s="58"/>
    </row>
    <row r="20" spans="1:10" x14ac:dyDescent="0.35">
      <c r="A20" s="57"/>
      <c r="F20" s="60"/>
      <c r="H20" s="59"/>
      <c r="I20" s="59"/>
      <c r="J20" s="58"/>
    </row>
    <row r="21" spans="1:10" x14ac:dyDescent="0.35">
      <c r="A21" s="57"/>
      <c r="F21" s="60"/>
      <c r="H21" s="59"/>
      <c r="I21" s="59"/>
      <c r="J21" s="58"/>
    </row>
    <row r="22" spans="1:10" x14ac:dyDescent="0.35">
      <c r="A22" s="57"/>
      <c r="F22" s="60"/>
      <c r="H22" s="59"/>
      <c r="I22" s="59"/>
      <c r="J22" s="58"/>
    </row>
    <row r="23" spans="1:10" x14ac:dyDescent="0.35">
      <c r="A23" s="57"/>
      <c r="F23" s="60"/>
      <c r="H23" s="59"/>
      <c r="I23" s="59"/>
      <c r="J23" s="58"/>
    </row>
  </sheetData>
  <mergeCells count="14">
    <mergeCell ref="N8:P8"/>
    <mergeCell ref="I1:O1"/>
    <mergeCell ref="B2:C2"/>
    <mergeCell ref="E2:H2"/>
    <mergeCell ref="B3:C3"/>
    <mergeCell ref="E3:H3"/>
    <mergeCell ref="B5:C5"/>
    <mergeCell ref="E5:H5"/>
    <mergeCell ref="L5:M5"/>
    <mergeCell ref="B6:C6"/>
    <mergeCell ref="E6:H6"/>
    <mergeCell ref="A8:G8"/>
    <mergeCell ref="H8:J8"/>
    <mergeCell ref="K8:M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C7"/>
  <sheetViews>
    <sheetView showGridLines="0" zoomScaleNormal="100" workbookViewId="0">
      <selection activeCell="A7" sqref="A7"/>
    </sheetView>
  </sheetViews>
  <sheetFormatPr baseColWidth="10" defaultColWidth="9.1796875" defaultRowHeight="18" customHeight="1" x14ac:dyDescent="0.25"/>
  <cols>
    <col min="1" max="1" width="32.08984375" customWidth="1"/>
    <col min="2" max="2" width="12" bestFit="1" customWidth="1"/>
    <col min="3" max="3" width="11.7265625" bestFit="1" customWidth="1"/>
  </cols>
  <sheetData>
    <row r="1" spans="1:3" ht="18" customHeight="1" x14ac:dyDescent="0.25">
      <c r="A1" s="4" t="s">
        <v>76</v>
      </c>
      <c r="B1" s="4" t="s">
        <v>77</v>
      </c>
      <c r="C1" s="4" t="s">
        <v>78</v>
      </c>
    </row>
    <row r="2" spans="1:3" ht="18" customHeight="1" x14ac:dyDescent="0.25">
      <c r="A2" s="90" t="s">
        <v>59</v>
      </c>
      <c r="B2" s="36">
        <v>43570</v>
      </c>
      <c r="C2" s="36">
        <v>43579</v>
      </c>
    </row>
    <row r="3" spans="1:3" ht="18" customHeight="1" x14ac:dyDescent="0.25">
      <c r="A3" s="91" t="s">
        <v>63</v>
      </c>
      <c r="B3" s="36">
        <v>43572</v>
      </c>
      <c r="C3" s="36">
        <v>43581</v>
      </c>
    </row>
    <row r="4" spans="1:3" ht="18" customHeight="1" x14ac:dyDescent="0.25">
      <c r="A4" s="91" t="s">
        <v>65</v>
      </c>
      <c r="B4" s="36">
        <v>43572</v>
      </c>
      <c r="C4" s="36">
        <v>43581</v>
      </c>
    </row>
    <row r="5" spans="1:3" ht="18" customHeight="1" x14ac:dyDescent="0.25">
      <c r="A5" s="91" t="s">
        <v>68</v>
      </c>
      <c r="B5" s="36">
        <v>43572</v>
      </c>
      <c r="C5" s="36">
        <v>43581</v>
      </c>
    </row>
    <row r="6" spans="1:3" ht="18" customHeight="1" x14ac:dyDescent="0.25">
      <c r="A6" s="91" t="s">
        <v>71</v>
      </c>
      <c r="B6" s="36">
        <v>43572</v>
      </c>
      <c r="C6" s="36">
        <v>43581</v>
      </c>
    </row>
    <row r="7" spans="1:3" ht="18" customHeight="1" x14ac:dyDescent="0.25">
      <c r="A7" s="91" t="s">
        <v>74</v>
      </c>
      <c r="B7" s="36">
        <v>43572</v>
      </c>
      <c r="C7" s="36">
        <v>43581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7"/>
  <sheetViews>
    <sheetView workbookViewId="0">
      <selection activeCell="C2" sqref="C2"/>
    </sheetView>
  </sheetViews>
  <sheetFormatPr baseColWidth="10" defaultColWidth="9.1796875" defaultRowHeight="12.5" x14ac:dyDescent="0.25"/>
  <cols>
    <col min="1" max="1" width="2.26953125" style="9" customWidth="1"/>
    <col min="2" max="8" width="19.26953125" customWidth="1"/>
    <col min="9" max="9" width="11.453125" customWidth="1"/>
  </cols>
  <sheetData>
    <row r="1" spans="1:8" ht="13" thickBot="1" x14ac:dyDescent="0.3">
      <c r="A1" s="9" t="s">
        <v>8</v>
      </c>
    </row>
    <row r="2" spans="1:8" s="7" customFormat="1" ht="23.5" thickTop="1" thickBot="1" x14ac:dyDescent="0.3">
      <c r="A2" s="10" t="s">
        <v>8</v>
      </c>
      <c r="B2" s="5">
        <v>2019</v>
      </c>
      <c r="C2" s="6">
        <v>16</v>
      </c>
      <c r="D2"/>
    </row>
    <row r="3" spans="1:8" ht="13" thickTop="1" x14ac:dyDescent="0.25">
      <c r="A3" s="9" t="s">
        <v>8</v>
      </c>
    </row>
    <row r="4" spans="1:8" ht="37.5" thickBot="1" x14ac:dyDescent="0.3">
      <c r="A4" s="9" t="s">
        <v>8</v>
      </c>
      <c r="B4" s="87" t="s">
        <v>7</v>
      </c>
      <c r="C4" s="87"/>
      <c r="D4" s="87"/>
      <c r="E4" s="87"/>
      <c r="F4" s="87"/>
      <c r="G4" s="87"/>
      <c r="H4" s="87"/>
    </row>
    <row r="5" spans="1:8" ht="14.5" thickTop="1" x14ac:dyDescent="0.25">
      <c r="A5" s="9" t="s">
        <v>8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" t="s">
        <v>6</v>
      </c>
      <c r="H5" s="1" t="s">
        <v>0</v>
      </c>
    </row>
    <row r="6" spans="1:8" s="40" customFormat="1" ht="15" x14ac:dyDescent="0.25">
      <c r="A6" s="37" t="s">
        <v>8</v>
      </c>
      <c r="B6" s="38">
        <f>B7</f>
        <v>43570</v>
      </c>
      <c r="C6" s="39"/>
      <c r="D6" s="39"/>
      <c r="E6" s="39"/>
      <c r="F6" s="39"/>
      <c r="G6" s="39"/>
      <c r="H6" s="38">
        <f>H7</f>
        <v>43576</v>
      </c>
    </row>
    <row r="7" spans="1:8" ht="27" x14ac:dyDescent="0.25">
      <c r="A7" s="9" t="s">
        <v>8</v>
      </c>
      <c r="B7" s="8">
        <f>(C2-1)*7+IF(WEEKDAY(DATE(B2,1,1),2)&gt;4,7,0)+DATE(B2,1,1)-WEEKDAY(DATE(B2,1,1),2)+1</f>
        <v>43570</v>
      </c>
      <c r="C7" s="8">
        <f>B7+1</f>
        <v>43571</v>
      </c>
      <c r="D7" s="8">
        <f t="shared" ref="D7:H7" si="0">C7+1</f>
        <v>43572</v>
      </c>
      <c r="E7" s="8">
        <f t="shared" si="0"/>
        <v>43573</v>
      </c>
      <c r="F7" s="8">
        <f t="shared" si="0"/>
        <v>43574</v>
      </c>
      <c r="G7" s="8">
        <f t="shared" si="0"/>
        <v>43575</v>
      </c>
      <c r="H7" s="8">
        <f t="shared" si="0"/>
        <v>43576</v>
      </c>
    </row>
    <row r="8" spans="1:8" x14ac:dyDescent="0.25">
      <c r="A8">
        <v>1</v>
      </c>
      <c r="B8" s="92" t="s">
        <v>85</v>
      </c>
      <c r="D8" s="92" t="s">
        <v>86</v>
      </c>
    </row>
    <row r="9" spans="1:8" x14ac:dyDescent="0.25">
      <c r="A9">
        <v>2</v>
      </c>
      <c r="D9" s="92" t="s">
        <v>87</v>
      </c>
    </row>
    <row r="10" spans="1:8" x14ac:dyDescent="0.25">
      <c r="A10">
        <v>3</v>
      </c>
      <c r="D10" s="92" t="s">
        <v>88</v>
      </c>
    </row>
    <row r="11" spans="1:8" x14ac:dyDescent="0.25">
      <c r="A11">
        <v>4</v>
      </c>
      <c r="D11" s="92" t="s">
        <v>89</v>
      </c>
    </row>
    <row r="12" spans="1:8" x14ac:dyDescent="0.25">
      <c r="A12">
        <v>5</v>
      </c>
      <c r="D12" s="92" t="s">
        <v>90</v>
      </c>
    </row>
    <row r="13" spans="1:8" x14ac:dyDescent="0.25">
      <c r="A13"/>
    </row>
    <row r="14" spans="1:8" x14ac:dyDescent="0.25">
      <c r="A14"/>
    </row>
    <row r="15" spans="1:8" x14ac:dyDescent="0.25">
      <c r="A15"/>
    </row>
    <row r="16" spans="1:8" x14ac:dyDescent="0.25">
      <c r="A16"/>
    </row>
    <row r="17" spans="1:1" x14ac:dyDescent="0.25">
      <c r="A17"/>
    </row>
  </sheetData>
  <mergeCells count="1">
    <mergeCell ref="B4:H4"/>
  </mergeCells>
  <conditionalFormatting sqref="B6:H7">
    <cfRule type="expression" dxfId="4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L33"/>
  <sheetViews>
    <sheetView zoomScale="90" zoomScaleNormal="90" workbookViewId="0">
      <selection activeCell="C2" sqref="C2"/>
    </sheetView>
  </sheetViews>
  <sheetFormatPr baseColWidth="10" defaultColWidth="9.1796875" defaultRowHeight="12.5" x14ac:dyDescent="0.25"/>
  <cols>
    <col min="1" max="1" width="2.26953125" style="26" customWidth="1"/>
    <col min="2" max="2" width="4.1796875" style="33" bestFit="1" customWidth="1"/>
    <col min="3" max="7" width="20.54296875" customWidth="1"/>
    <col min="8" max="8" width="22.6328125" customWidth="1"/>
    <col min="9" max="9" width="20.54296875" customWidth="1"/>
    <col min="10" max="10" width="1.7265625" customWidth="1"/>
  </cols>
  <sheetData>
    <row r="1" spans="1:12" ht="13" thickBot="1" x14ac:dyDescent="0.3"/>
    <row r="2" spans="1:12" s="7" customFormat="1" ht="23.5" thickTop="1" thickBot="1" x14ac:dyDescent="0.3">
      <c r="A2" s="27"/>
      <c r="B2" s="34"/>
      <c r="C2" s="11">
        <v>2019</v>
      </c>
      <c r="D2" s="12" t="str">
        <f>UPPER(CHOOSE(E2,"Janvier","Février","Mars","Avril","Mai","Juin","Juillet","Août","Septembre","Octobre","Novembre","Décembre"))</f>
        <v>AVRIL</v>
      </c>
      <c r="E2" s="13">
        <v>4</v>
      </c>
    </row>
    <row r="3" spans="1:12" ht="13" thickTop="1" x14ac:dyDescent="0.25"/>
    <row r="4" spans="1:12" ht="37.5" thickBot="1" x14ac:dyDescent="0.3">
      <c r="C4" s="88" t="s">
        <v>9</v>
      </c>
      <c r="D4" s="89"/>
      <c r="E4" s="89"/>
      <c r="F4" s="89"/>
      <c r="G4" s="89"/>
      <c r="H4" s="89"/>
      <c r="I4" s="89"/>
    </row>
    <row r="5" spans="1:12" ht="15" thickTop="1" thickBot="1" x14ac:dyDescent="0.3">
      <c r="B5" s="26"/>
      <c r="C5" s="14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6" t="s">
        <v>6</v>
      </c>
      <c r="I5" s="14" t="s">
        <v>0</v>
      </c>
    </row>
    <row r="6" spans="1:12" ht="28" thickTop="1" x14ac:dyDescent="0.25">
      <c r="B6" s="35">
        <f>1+INT(MIN(MOD(C6-DATE(YEAR(C6)+{-1;0;1},1,5)+WEEKDAY(DATE(YEAR(C6)+{-1;0;1},1,3)),734))/7)</f>
        <v>14</v>
      </c>
      <c r="C6" s="21">
        <f>DATE(C2,E2,1)-WEEKDAY(DATE(C2,E2,1),2)+1</f>
        <v>43556</v>
      </c>
      <c r="D6" s="22">
        <f t="shared" ref="D6:I6" si="0">C6+1</f>
        <v>43557</v>
      </c>
      <c r="E6" s="22">
        <f t="shared" si="0"/>
        <v>43558</v>
      </c>
      <c r="F6" s="22">
        <f t="shared" si="0"/>
        <v>43559</v>
      </c>
      <c r="G6" s="22">
        <f t="shared" si="0"/>
        <v>43560</v>
      </c>
      <c r="H6" s="22">
        <f t="shared" si="0"/>
        <v>43561</v>
      </c>
      <c r="I6" s="22">
        <f t="shared" si="0"/>
        <v>43562</v>
      </c>
    </row>
    <row r="7" spans="1:12" s="17" customFormat="1" ht="12.65" customHeight="1" x14ac:dyDescent="0.25">
      <c r="A7" s="28"/>
      <c r="B7" s="28"/>
      <c r="C7" s="23" t="str">
        <f t="shared" ref="C7:I7" si="1">IFERROR(VLOOKUP(C6,JF,2,0),"")</f>
        <v/>
      </c>
      <c r="D7" s="24" t="str">
        <f t="shared" si="1"/>
        <v/>
      </c>
      <c r="E7" s="24" t="str">
        <f t="shared" si="1"/>
        <v/>
      </c>
      <c r="F7" s="24" t="str">
        <f t="shared" si="1"/>
        <v/>
      </c>
      <c r="G7" s="24" t="str">
        <f t="shared" si="1"/>
        <v/>
      </c>
      <c r="H7" s="24" t="str">
        <f t="shared" si="1"/>
        <v/>
      </c>
      <c r="I7" s="24" t="str">
        <f t="shared" si="1"/>
        <v/>
      </c>
    </row>
    <row r="8" spans="1:12" s="20" customFormat="1" ht="13" thickBot="1" x14ac:dyDescent="0.3">
      <c r="A8" s="26"/>
      <c r="B8" s="26"/>
      <c r="C8" s="18"/>
      <c r="D8" s="19"/>
      <c r="E8" s="19"/>
      <c r="F8" s="19"/>
      <c r="G8" s="19"/>
      <c r="H8" s="19"/>
      <c r="I8" s="19"/>
    </row>
    <row r="9" spans="1:12" ht="28" thickTop="1" x14ac:dyDescent="0.25">
      <c r="B9" s="35">
        <f>1+INT(MIN(MOD(C9-DATE(YEAR(C9)+{-1;0;1},1,5)+WEEKDAY(DATE(YEAR(C9)+{-1;0;1},1,3)),734))/7)</f>
        <v>15</v>
      </c>
      <c r="C9" s="21">
        <f>C6+7</f>
        <v>43563</v>
      </c>
      <c r="D9" s="22">
        <f t="shared" ref="D9:I9" si="2">C9+1</f>
        <v>43564</v>
      </c>
      <c r="E9" s="22">
        <f t="shared" si="2"/>
        <v>43565</v>
      </c>
      <c r="F9" s="22">
        <f t="shared" si="2"/>
        <v>43566</v>
      </c>
      <c r="G9" s="22">
        <f t="shared" si="2"/>
        <v>43567</v>
      </c>
      <c r="H9" s="22">
        <f t="shared" si="2"/>
        <v>43568</v>
      </c>
      <c r="I9" s="22">
        <f t="shared" si="2"/>
        <v>43569</v>
      </c>
    </row>
    <row r="10" spans="1:12" s="20" customFormat="1" ht="12.65" customHeight="1" x14ac:dyDescent="0.25">
      <c r="A10" s="26"/>
      <c r="B10" s="26"/>
      <c r="C10" s="23" t="str">
        <f t="shared" ref="C10:I10" si="3">IFERROR(VLOOKUP(C9,JF,2,0),"")</f>
        <v/>
      </c>
      <c r="D10" s="24" t="str">
        <f t="shared" si="3"/>
        <v/>
      </c>
      <c r="E10" s="24" t="str">
        <f t="shared" si="3"/>
        <v/>
      </c>
      <c r="F10" s="24" t="str">
        <f t="shared" si="3"/>
        <v/>
      </c>
      <c r="G10" s="24" t="str">
        <f t="shared" si="3"/>
        <v/>
      </c>
      <c r="H10" s="24" t="str">
        <f t="shared" si="3"/>
        <v/>
      </c>
      <c r="I10" s="24" t="str">
        <f t="shared" si="3"/>
        <v/>
      </c>
    </row>
    <row r="11" spans="1:12" s="20" customFormat="1" ht="13" thickBot="1" x14ac:dyDescent="0.3">
      <c r="A11" s="26"/>
      <c r="B11" s="26"/>
      <c r="C11"/>
      <c r="D11"/>
      <c r="E11"/>
      <c r="F11"/>
      <c r="G11"/>
      <c r="H11"/>
      <c r="I11"/>
    </row>
    <row r="12" spans="1:12" ht="28" thickTop="1" x14ac:dyDescent="0.25">
      <c r="B12" s="35">
        <f>1+INT(MIN(MOD(C12-DATE(YEAR(C12)+{-1;0;1},1,5)+WEEKDAY(DATE(YEAR(C12)+{-1;0;1},1,3)),734))/7)</f>
        <v>16</v>
      </c>
      <c r="C12" s="21">
        <f>C9+7</f>
        <v>43570</v>
      </c>
      <c r="D12" s="22">
        <f t="shared" ref="D12:I12" si="4">C12+1</f>
        <v>43571</v>
      </c>
      <c r="E12" s="22">
        <f t="shared" si="4"/>
        <v>43572</v>
      </c>
      <c r="F12" s="22">
        <f t="shared" si="4"/>
        <v>43573</v>
      </c>
      <c r="G12" s="22">
        <f t="shared" si="4"/>
        <v>43574</v>
      </c>
      <c r="H12" s="22">
        <f t="shared" si="4"/>
        <v>43575</v>
      </c>
      <c r="I12" s="22">
        <f t="shared" si="4"/>
        <v>43576</v>
      </c>
    </row>
    <row r="13" spans="1:12" s="17" customFormat="1" ht="12.65" customHeight="1" x14ac:dyDescent="0.25">
      <c r="A13" s="28"/>
      <c r="B13" s="28"/>
      <c r="C13" s="23" t="str">
        <f t="shared" ref="C13:I13" si="5">IFERROR(VLOOKUP(C12,JF,2,0),"")</f>
        <v/>
      </c>
      <c r="D13" s="24" t="str">
        <f t="shared" si="5"/>
        <v/>
      </c>
      <c r="E13" s="24" t="str">
        <f t="shared" si="5"/>
        <v/>
      </c>
      <c r="F13" s="24" t="str">
        <f t="shared" si="5"/>
        <v/>
      </c>
      <c r="G13" s="24" t="str">
        <f t="shared" si="5"/>
        <v/>
      </c>
      <c r="H13" s="24" t="str">
        <f t="shared" si="5"/>
        <v/>
      </c>
      <c r="I13" s="24" t="str">
        <f t="shared" si="5"/>
        <v>Pâques</v>
      </c>
      <c r="L13"/>
    </row>
    <row r="14" spans="1:12" s="20" customFormat="1" x14ac:dyDescent="0.25">
      <c r="A14" s="26"/>
      <c r="B14" s="26"/>
      <c r="C14" s="93" t="s">
        <v>85</v>
      </c>
      <c r="D14" s="19"/>
      <c r="E14" s="94" t="s">
        <v>86</v>
      </c>
      <c r="F14" s="19"/>
      <c r="G14" s="19"/>
      <c r="H14" s="19"/>
      <c r="I14" s="19"/>
    </row>
    <row r="15" spans="1:12" s="20" customFormat="1" x14ac:dyDescent="0.25">
      <c r="A15" s="26"/>
      <c r="B15" s="26"/>
      <c r="C15" s="18"/>
      <c r="D15" s="19"/>
      <c r="E15" s="94" t="s">
        <v>87</v>
      </c>
      <c r="F15" s="19"/>
      <c r="G15" s="19"/>
      <c r="H15" s="19"/>
      <c r="I15" s="19"/>
    </row>
    <row r="16" spans="1:12" s="20" customFormat="1" x14ac:dyDescent="0.25">
      <c r="A16" s="26"/>
      <c r="B16" s="26"/>
      <c r="C16" s="18"/>
      <c r="D16" s="19"/>
      <c r="E16" s="94" t="s">
        <v>88</v>
      </c>
      <c r="F16" s="19"/>
      <c r="G16" s="19"/>
      <c r="H16" s="19"/>
      <c r="I16" s="19"/>
    </row>
    <row r="17" spans="1:9" s="20" customFormat="1" x14ac:dyDescent="0.25">
      <c r="A17" s="26"/>
      <c r="B17" s="26"/>
      <c r="C17" s="18"/>
      <c r="D17" s="19"/>
      <c r="E17" s="94" t="s">
        <v>89</v>
      </c>
      <c r="F17" s="19"/>
      <c r="G17" s="19"/>
      <c r="H17" s="19"/>
      <c r="I17" s="19"/>
    </row>
    <row r="18" spans="1:9" s="20" customFormat="1" x14ac:dyDescent="0.25">
      <c r="A18" s="26"/>
      <c r="B18" s="26"/>
      <c r="C18" s="18"/>
      <c r="D18" s="19"/>
      <c r="E18" s="94" t="s">
        <v>90</v>
      </c>
      <c r="F18" s="19"/>
      <c r="G18" s="19"/>
      <c r="H18" s="19"/>
      <c r="I18" s="19"/>
    </row>
    <row r="19" spans="1:9" s="20" customFormat="1" ht="13" thickBot="1" x14ac:dyDescent="0.3">
      <c r="A19" s="26"/>
      <c r="B19" s="26"/>
      <c r="C19" s="18"/>
      <c r="D19" s="19"/>
      <c r="E19" s="19"/>
      <c r="F19" s="19"/>
      <c r="G19" s="19"/>
      <c r="H19" s="19"/>
      <c r="I19" s="19"/>
    </row>
    <row r="20" spans="1:9" ht="28" thickTop="1" x14ac:dyDescent="0.25">
      <c r="B20" s="35">
        <f>1+INT(MIN(MOD(C20-DATE(YEAR(C20)+{-1;0;1},1,5)+WEEKDAY(DATE(YEAR(C20)+{-1;0;1},1,3)),734))/7)</f>
        <v>17</v>
      </c>
      <c r="C20" s="21">
        <f>C12+7</f>
        <v>43577</v>
      </c>
      <c r="D20" s="22">
        <f t="shared" ref="D20:I20" si="6">C20+1</f>
        <v>43578</v>
      </c>
      <c r="E20" s="22">
        <f t="shared" si="6"/>
        <v>43579</v>
      </c>
      <c r="F20" s="22">
        <f t="shared" si="6"/>
        <v>43580</v>
      </c>
      <c r="G20" s="22">
        <f t="shared" si="6"/>
        <v>43581</v>
      </c>
      <c r="H20" s="22">
        <f t="shared" si="6"/>
        <v>43582</v>
      </c>
      <c r="I20" s="22">
        <f t="shared" si="6"/>
        <v>43583</v>
      </c>
    </row>
    <row r="21" spans="1:9" s="20" customFormat="1" ht="12.65" customHeight="1" x14ac:dyDescent="0.25">
      <c r="A21" s="26"/>
      <c r="B21" s="26"/>
      <c r="C21" s="23" t="str">
        <f t="shared" ref="C21:I21" si="7">IFERROR(VLOOKUP(C20,JF,2,0),"")</f>
        <v>Lundi de Pâques</v>
      </c>
      <c r="D21" s="24" t="str">
        <f t="shared" si="7"/>
        <v/>
      </c>
      <c r="E21" s="24" t="str">
        <f t="shared" si="7"/>
        <v/>
      </c>
      <c r="F21" s="24" t="str">
        <f t="shared" si="7"/>
        <v/>
      </c>
      <c r="G21" s="24" t="str">
        <f t="shared" si="7"/>
        <v/>
      </c>
      <c r="H21" s="24" t="str">
        <f t="shared" si="7"/>
        <v/>
      </c>
      <c r="I21" s="24" t="str">
        <f t="shared" si="7"/>
        <v/>
      </c>
    </row>
    <row r="22" spans="1:9" s="20" customFormat="1" x14ac:dyDescent="0.25">
      <c r="A22" s="26"/>
      <c r="B22" s="26"/>
      <c r="C22"/>
      <c r="D22"/>
      <c r="E22" s="92" t="s">
        <v>79</v>
      </c>
      <c r="F22"/>
      <c r="G22" s="92" t="s">
        <v>80</v>
      </c>
      <c r="H22"/>
      <c r="I22"/>
    </row>
    <row r="23" spans="1:9" s="20" customFormat="1" x14ac:dyDescent="0.25">
      <c r="A23" s="26"/>
      <c r="B23" s="26"/>
      <c r="C23"/>
      <c r="D23"/>
      <c r="E23"/>
      <c r="F23"/>
      <c r="G23" s="92" t="s">
        <v>81</v>
      </c>
      <c r="H23"/>
      <c r="I23"/>
    </row>
    <row r="24" spans="1:9" s="20" customFormat="1" x14ac:dyDescent="0.25">
      <c r="A24" s="26"/>
      <c r="B24" s="26"/>
      <c r="C24"/>
      <c r="D24"/>
      <c r="E24"/>
      <c r="F24"/>
      <c r="G24" s="92" t="s">
        <v>82</v>
      </c>
      <c r="H24"/>
      <c r="I24"/>
    </row>
    <row r="25" spans="1:9" s="20" customFormat="1" x14ac:dyDescent="0.25">
      <c r="A25" s="26"/>
      <c r="B25" s="26"/>
      <c r="C25"/>
      <c r="D25"/>
      <c r="E25"/>
      <c r="F25"/>
      <c r="G25" s="92" t="s">
        <v>83</v>
      </c>
      <c r="H25"/>
      <c r="I25"/>
    </row>
    <row r="26" spans="1:9" s="20" customFormat="1" x14ac:dyDescent="0.25">
      <c r="A26" s="26"/>
      <c r="B26" s="26"/>
      <c r="C26"/>
      <c r="D26"/>
      <c r="E26"/>
      <c r="F26"/>
      <c r="G26" s="92" t="s">
        <v>84</v>
      </c>
      <c r="H26"/>
      <c r="I26"/>
    </row>
    <row r="27" spans="1:9" s="20" customFormat="1" ht="13" thickBot="1" x14ac:dyDescent="0.3">
      <c r="A27" s="26"/>
      <c r="B27" s="26"/>
      <c r="C27"/>
      <c r="D27"/>
      <c r="E27"/>
      <c r="F27"/>
      <c r="G27"/>
      <c r="H27"/>
      <c r="I27"/>
    </row>
    <row r="28" spans="1:9" ht="28" thickTop="1" x14ac:dyDescent="0.25">
      <c r="B28" s="35">
        <f>1+INT(MIN(MOD(C28-DATE(YEAR(C28)+{-1;0;1},1,5)+WEEKDAY(DATE(YEAR(C28)+{-1;0;1},1,3)),734))/7)</f>
        <v>18</v>
      </c>
      <c r="C28" s="21">
        <f>C20+7</f>
        <v>43584</v>
      </c>
      <c r="D28" s="22">
        <f t="shared" ref="D28:I28" si="8">C28+1</f>
        <v>43585</v>
      </c>
      <c r="E28" s="22">
        <f t="shared" si="8"/>
        <v>43586</v>
      </c>
      <c r="F28" s="22">
        <f t="shared" si="8"/>
        <v>43587</v>
      </c>
      <c r="G28" s="22">
        <f t="shared" si="8"/>
        <v>43588</v>
      </c>
      <c r="H28" s="22">
        <f t="shared" si="8"/>
        <v>43589</v>
      </c>
      <c r="I28" s="22">
        <f t="shared" si="8"/>
        <v>43590</v>
      </c>
    </row>
    <row r="29" spans="1:9" s="17" customFormat="1" ht="12.65" customHeight="1" x14ac:dyDescent="0.25">
      <c r="A29" s="28"/>
      <c r="B29" s="28"/>
      <c r="C29" s="23" t="str">
        <f t="shared" ref="C29:I29" si="9">IFERROR(VLOOKUP(C28,JF,2,0),"")</f>
        <v/>
      </c>
      <c r="D29" s="24" t="str">
        <f t="shared" si="9"/>
        <v/>
      </c>
      <c r="E29" s="24" t="str">
        <f t="shared" si="9"/>
        <v>Fête du travail</v>
      </c>
      <c r="F29" s="24" t="str">
        <f t="shared" si="9"/>
        <v/>
      </c>
      <c r="G29" s="24" t="str">
        <f t="shared" si="9"/>
        <v/>
      </c>
      <c r="H29" s="24" t="str">
        <f t="shared" si="9"/>
        <v/>
      </c>
      <c r="I29" s="24" t="str">
        <f t="shared" si="9"/>
        <v/>
      </c>
    </row>
    <row r="30" spans="1:9" s="20" customFormat="1" ht="13" thickBot="1" x14ac:dyDescent="0.3">
      <c r="A30" s="26"/>
      <c r="B30" s="26"/>
      <c r="C30" s="18"/>
      <c r="D30" s="19"/>
      <c r="E30" s="19"/>
      <c r="F30" s="19"/>
      <c r="G30" s="19"/>
      <c r="H30" s="19"/>
      <c r="I30" s="19"/>
    </row>
    <row r="31" spans="1:9" ht="28" thickTop="1" x14ac:dyDescent="0.25">
      <c r="B31" s="35">
        <f>1+INT(MIN(MOD(C31-DATE(YEAR(C31)+{-1;0;1},1,5)+WEEKDAY(DATE(YEAR(C31)+{-1;0;1},1,3)),734))/7)</f>
        <v>19</v>
      </c>
      <c r="C31" s="21">
        <f>C28+7</f>
        <v>43591</v>
      </c>
      <c r="D31" s="22">
        <f t="shared" ref="D31:I31" si="10">C31+1</f>
        <v>43592</v>
      </c>
      <c r="E31" s="22">
        <f t="shared" si="10"/>
        <v>43593</v>
      </c>
      <c r="F31" s="22">
        <f t="shared" si="10"/>
        <v>43594</v>
      </c>
      <c r="G31" s="22">
        <f t="shared" si="10"/>
        <v>43595</v>
      </c>
      <c r="H31" s="22">
        <f t="shared" si="10"/>
        <v>43596</v>
      </c>
      <c r="I31" s="22">
        <f t="shared" si="10"/>
        <v>43597</v>
      </c>
    </row>
    <row r="32" spans="1:9" s="20" customFormat="1" ht="12.65" customHeight="1" x14ac:dyDescent="0.25">
      <c r="A32" s="26"/>
      <c r="B32" s="26"/>
      <c r="C32" s="23" t="str">
        <f t="shared" ref="C32:I32" si="11">IFERROR(VLOOKUP(C31,JF,2,0),"")</f>
        <v/>
      </c>
      <c r="D32" s="24" t="str">
        <f t="shared" si="11"/>
        <v/>
      </c>
      <c r="E32" s="24" t="str">
        <f t="shared" si="11"/>
        <v>Victoire de 1945</v>
      </c>
      <c r="F32" s="24" t="str">
        <f t="shared" si="11"/>
        <v/>
      </c>
      <c r="G32" s="24" t="str">
        <f t="shared" si="11"/>
        <v/>
      </c>
      <c r="H32" s="24" t="str">
        <f t="shared" si="11"/>
        <v/>
      </c>
      <c r="I32" s="24" t="str">
        <f t="shared" si="11"/>
        <v/>
      </c>
    </row>
    <row r="33" spans="1:9" s="20" customFormat="1" x14ac:dyDescent="0.25">
      <c r="A33" s="26"/>
      <c r="B33" s="26"/>
      <c r="C33"/>
      <c r="D33"/>
      <c r="E33"/>
      <c r="F33"/>
      <c r="G33"/>
      <c r="H33"/>
      <c r="I33"/>
    </row>
  </sheetData>
  <mergeCells count="1">
    <mergeCell ref="C4:I4"/>
  </mergeCells>
  <conditionalFormatting sqref="C9:I9 C20:I20 C31:I31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2:I12">
    <cfRule type="expression" dxfId="1" priority="2">
      <formula>MONTH(C12)&lt;&gt;$E$2</formula>
    </cfRule>
  </conditionalFormatting>
  <conditionalFormatting sqref="C28:I28">
    <cfRule type="expression" dxfId="0" priority="1">
      <formula>MONTH(C28)&lt;&gt;$E$2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1640625" defaultRowHeight="14" x14ac:dyDescent="0.25"/>
  <cols>
    <col min="1" max="1" width="14.81640625" style="29" customWidth="1"/>
    <col min="2" max="7" width="8" style="30" customWidth="1"/>
    <col min="8" max="16384" width="10.81640625" style="29"/>
  </cols>
  <sheetData>
    <row r="1" spans="1:7" x14ac:dyDescent="0.25">
      <c r="B1" s="30" t="s">
        <v>22</v>
      </c>
      <c r="C1" s="30" t="s">
        <v>23</v>
      </c>
      <c r="D1" s="30" t="s">
        <v>24</v>
      </c>
      <c r="E1" s="30" t="s">
        <v>25</v>
      </c>
      <c r="F1" s="30" t="s">
        <v>26</v>
      </c>
      <c r="G1" s="30" t="s">
        <v>27</v>
      </c>
    </row>
    <row r="2" spans="1:7" x14ac:dyDescent="0.25">
      <c r="A2" s="29" t="s">
        <v>28</v>
      </c>
      <c r="B2" s="32">
        <v>6</v>
      </c>
      <c r="C2" s="30">
        <f>B2+B3+3</f>
        <v>9</v>
      </c>
      <c r="D2" s="30">
        <f t="shared" ref="D2:G2" si="0">C2+C3+3</f>
        <v>12</v>
      </c>
      <c r="E2" s="30">
        <f t="shared" si="0"/>
        <v>20</v>
      </c>
      <c r="F2" s="30">
        <f t="shared" si="0"/>
        <v>28</v>
      </c>
      <c r="G2" s="30">
        <f t="shared" si="0"/>
        <v>31</v>
      </c>
    </row>
    <row r="3" spans="1:7" x14ac:dyDescent="0.25">
      <c r="A3" s="29" t="s">
        <v>29</v>
      </c>
      <c r="B3" s="32">
        <v>0</v>
      </c>
      <c r="C3" s="32">
        <v>0</v>
      </c>
      <c r="D3" s="32">
        <v>5</v>
      </c>
      <c r="E3" s="32">
        <v>5</v>
      </c>
      <c r="F3" s="32">
        <v>0</v>
      </c>
      <c r="G3" s="32">
        <v>0</v>
      </c>
    </row>
    <row r="4" spans="1:7" x14ac:dyDescent="0.25">
      <c r="A4" s="29" t="s">
        <v>30</v>
      </c>
      <c r="B4" s="30">
        <f>B2+2</f>
        <v>8</v>
      </c>
      <c r="C4" s="30">
        <f t="shared" ref="C4:G4" si="1">C2+2</f>
        <v>11</v>
      </c>
      <c r="D4" s="30">
        <f t="shared" si="1"/>
        <v>14</v>
      </c>
      <c r="E4" s="30">
        <f t="shared" si="1"/>
        <v>22</v>
      </c>
      <c r="F4" s="30">
        <f t="shared" si="1"/>
        <v>30</v>
      </c>
      <c r="G4" s="30">
        <f t="shared" si="1"/>
        <v>33</v>
      </c>
    </row>
    <row r="5" spans="1:7" x14ac:dyDescent="0.25">
      <c r="A5" s="29" t="s">
        <v>31</v>
      </c>
      <c r="B5" s="30">
        <f>B2+1+B3</f>
        <v>7</v>
      </c>
      <c r="C5" s="30">
        <f t="shared" ref="C5:G5" si="2">C2+1+C3</f>
        <v>10</v>
      </c>
      <c r="D5" s="30">
        <f t="shared" si="2"/>
        <v>18</v>
      </c>
      <c r="E5" s="30">
        <f t="shared" si="2"/>
        <v>26</v>
      </c>
      <c r="F5" s="30">
        <f t="shared" si="2"/>
        <v>29</v>
      </c>
      <c r="G5" s="30">
        <f t="shared" si="2"/>
        <v>32</v>
      </c>
    </row>
    <row r="8" spans="1:7" x14ac:dyDescent="0.25">
      <c r="B8" s="31"/>
      <c r="C8" s="31"/>
      <c r="D8" s="31"/>
      <c r="E8" s="31"/>
      <c r="F8" s="31"/>
      <c r="G8" s="31"/>
    </row>
    <row r="14" spans="1:7" x14ac:dyDescent="0.25">
      <c r="B14" s="31"/>
      <c r="C14" s="31"/>
      <c r="D14" s="31"/>
      <c r="E14" s="31"/>
      <c r="F14" s="31"/>
      <c r="G14" s="31"/>
    </row>
    <row r="20" spans="2:7" x14ac:dyDescent="0.25">
      <c r="B20" s="31"/>
      <c r="C20" s="31"/>
      <c r="D20" s="31"/>
      <c r="E20" s="31"/>
      <c r="F20" s="31"/>
      <c r="G20" s="3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6"/>
  <sheetViews>
    <sheetView workbookViewId="0">
      <selection activeCell="D28" sqref="D28"/>
    </sheetView>
  </sheetViews>
  <sheetFormatPr baseColWidth="10" defaultColWidth="18.54296875" defaultRowHeight="12.5" x14ac:dyDescent="0.25"/>
  <cols>
    <col min="2" max="2" width="18.54296875" style="63"/>
  </cols>
  <sheetData>
    <row r="1" spans="1:3" x14ac:dyDescent="0.25">
      <c r="A1" s="25">
        <v>2019</v>
      </c>
      <c r="B1" s="62">
        <f>DATE(A1,1,1)</f>
        <v>43466</v>
      </c>
      <c r="C1" s="61" t="s">
        <v>10</v>
      </c>
    </row>
    <row r="2" spans="1:3" x14ac:dyDescent="0.25">
      <c r="B2" s="62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43576</v>
      </c>
      <c r="C2" s="61" t="s">
        <v>11</v>
      </c>
    </row>
    <row r="3" spans="1:3" x14ac:dyDescent="0.25">
      <c r="B3" s="62">
        <f>B2+1</f>
        <v>43577</v>
      </c>
      <c r="C3" s="61" t="s">
        <v>12</v>
      </c>
    </row>
    <row r="4" spans="1:3" x14ac:dyDescent="0.25">
      <c r="B4" s="62">
        <f>DATE(A1,5,1)</f>
        <v>43586</v>
      </c>
      <c r="C4" s="61" t="s">
        <v>13</v>
      </c>
    </row>
    <row r="5" spans="1:3" x14ac:dyDescent="0.25">
      <c r="B5" s="62">
        <f>DATE(A1,5,8)</f>
        <v>43593</v>
      </c>
      <c r="C5" s="61" t="s">
        <v>14</v>
      </c>
    </row>
    <row r="6" spans="1:3" x14ac:dyDescent="0.25">
      <c r="B6" s="62">
        <f>B2+39</f>
        <v>43615</v>
      </c>
      <c r="C6" s="61" t="s">
        <v>15</v>
      </c>
    </row>
    <row r="7" spans="1:3" x14ac:dyDescent="0.25">
      <c r="B7" s="62">
        <f>B2+50</f>
        <v>43626</v>
      </c>
      <c r="C7" s="61" t="s">
        <v>16</v>
      </c>
    </row>
    <row r="8" spans="1:3" x14ac:dyDescent="0.25">
      <c r="B8" s="62">
        <f>DATE(A1,7,14)</f>
        <v>43660</v>
      </c>
      <c r="C8" s="61" t="s">
        <v>17</v>
      </c>
    </row>
    <row r="9" spans="1:3" x14ac:dyDescent="0.25">
      <c r="B9" s="62">
        <f>DATE(A1,8,15)</f>
        <v>43692</v>
      </c>
      <c r="C9" s="61" t="s">
        <v>18</v>
      </c>
    </row>
    <row r="10" spans="1:3" x14ac:dyDescent="0.25">
      <c r="B10" s="62">
        <f>DATE(A1,11,1)</f>
        <v>43770</v>
      </c>
      <c r="C10" s="61" t="s">
        <v>19</v>
      </c>
    </row>
    <row r="11" spans="1:3" x14ac:dyDescent="0.25">
      <c r="B11" s="62">
        <f>DATE(A1,11,11)</f>
        <v>43780</v>
      </c>
      <c r="C11" s="61" t="s">
        <v>20</v>
      </c>
    </row>
    <row r="12" spans="1:3" x14ac:dyDescent="0.25">
      <c r="B12" s="62">
        <f>DATE(A1,12,25)</f>
        <v>43824</v>
      </c>
      <c r="C12" s="61" t="s">
        <v>21</v>
      </c>
    </row>
    <row r="13" spans="1:3" x14ac:dyDescent="0.25">
      <c r="A13" s="25">
        <f>+A1+1</f>
        <v>2020</v>
      </c>
      <c r="B13" s="62">
        <f>DATE(A13,1,1)</f>
        <v>43831</v>
      </c>
      <c r="C13" s="61" t="s">
        <v>10</v>
      </c>
    </row>
    <row r="14" spans="1:3" x14ac:dyDescent="0.25">
      <c r="B14" s="62">
        <f>DATE(A13,IF((25-MOD((11*MOD(A13-1900,19)+4-INT((7*MOD(A13-1900,19)+1)/19)),29)-MOD(A13-1900+INT((A13-1900)/4)+31-MOD((11*MOD(A13-1900,19)+4-INT((7*MOD(A13-1900,19)+1)/19)),29),7))&gt;0,4,3),IF((25-MOD((11*MOD(A13-1900,19)+4-INT((7*MOD(A13-1900,19)+1)/19)),29)-MOD(A13-1900+INT((A13-1900)/4)+31-MOD((11*MOD(A13-1900,19)+4-INT((7*MOD(A13-1900,19)+1)/19)),29),7))&gt;0,(25-MOD((11*MOD(A13-1900,19)+4-INT((7*MOD(A13-1900,19)+1)/19)),29)-MOD(A13-1900+INT((A13-1900)/4)+31-MOD((11*MOD(A13-1900,19)+4-INT((7*MOD(A13-1900,19)+1)/19)),29),7)),31+(25-MOD((11*MOD(A13-1900,19)+4-INT((7*MOD(A13-1900,19)+1)/19)),29)-MOD(A13-1900+INT((A13-1900)/4)+31-MOD((11*MOD(A13-1900,19)+4-INT((7*MOD(A13-1900,19)+1)/19)),29),7))))</f>
        <v>43933</v>
      </c>
      <c r="C14" s="61" t="s">
        <v>11</v>
      </c>
    </row>
    <row r="15" spans="1:3" x14ac:dyDescent="0.25">
      <c r="B15" s="62">
        <f>B14+1</f>
        <v>43934</v>
      </c>
      <c r="C15" s="61" t="s">
        <v>12</v>
      </c>
    </row>
    <row r="16" spans="1:3" x14ac:dyDescent="0.25">
      <c r="B16" s="62">
        <f>DATE(A13,5,1)</f>
        <v>43952</v>
      </c>
      <c r="C16" s="61" t="s">
        <v>13</v>
      </c>
    </row>
    <row r="17" spans="1:3" x14ac:dyDescent="0.25">
      <c r="B17" s="62">
        <f>DATE(A13,5,8)</f>
        <v>43959</v>
      </c>
      <c r="C17" s="61" t="s">
        <v>14</v>
      </c>
    </row>
    <row r="18" spans="1:3" x14ac:dyDescent="0.25">
      <c r="B18" s="62">
        <f>B14+39</f>
        <v>43972</v>
      </c>
      <c r="C18" s="61" t="s">
        <v>15</v>
      </c>
    </row>
    <row r="19" spans="1:3" x14ac:dyDescent="0.25">
      <c r="B19" s="62">
        <f>B14+50</f>
        <v>43983</v>
      </c>
      <c r="C19" s="61" t="s">
        <v>16</v>
      </c>
    </row>
    <row r="20" spans="1:3" x14ac:dyDescent="0.25">
      <c r="B20" s="62">
        <f>DATE(A13,7,14)</f>
        <v>44026</v>
      </c>
      <c r="C20" s="61" t="s">
        <v>17</v>
      </c>
    </row>
    <row r="21" spans="1:3" x14ac:dyDescent="0.25">
      <c r="B21" s="62">
        <f>DATE(A13,8,15)</f>
        <v>44058</v>
      </c>
      <c r="C21" s="61" t="s">
        <v>18</v>
      </c>
    </row>
    <row r="22" spans="1:3" x14ac:dyDescent="0.25">
      <c r="B22" s="62">
        <f>DATE(A13,11,1)</f>
        <v>44136</v>
      </c>
      <c r="C22" s="61" t="s">
        <v>19</v>
      </c>
    </row>
    <row r="23" spans="1:3" x14ac:dyDescent="0.25">
      <c r="B23" s="62">
        <f>DATE(A13,11,11)</f>
        <v>44146</v>
      </c>
      <c r="C23" s="61" t="s">
        <v>20</v>
      </c>
    </row>
    <row r="24" spans="1:3" x14ac:dyDescent="0.25">
      <c r="B24" s="62">
        <f>DATE(A13,12,25)</f>
        <v>44190</v>
      </c>
      <c r="C24" s="61" t="s">
        <v>21</v>
      </c>
    </row>
    <row r="25" spans="1:3" x14ac:dyDescent="0.25">
      <c r="A25" s="25">
        <f>+A13+1</f>
        <v>2021</v>
      </c>
      <c r="B25" s="62">
        <f>DATE(A25,1,1)</f>
        <v>44197</v>
      </c>
      <c r="C25" s="61" t="s">
        <v>10</v>
      </c>
    </row>
    <row r="26" spans="1:3" x14ac:dyDescent="0.25">
      <c r="B26" s="62">
        <f>DATE(A25,IF((25-MOD((11*MOD(A25-1900,19)+4-INT((7*MOD(A25-1900,19)+1)/19)),29)-MOD(A25-1900+INT((A25-1900)/4)+31-MOD((11*MOD(A25-1900,19)+4-INT((7*MOD(A25-1900,19)+1)/19)),29),7))&gt;0,4,3),IF((25-MOD((11*MOD(A25-1900,19)+4-INT((7*MOD(A25-1900,19)+1)/19)),29)-MOD(A25-1900+INT((A25-1900)/4)+31-MOD((11*MOD(A25-1900,19)+4-INT((7*MOD(A25-1900,19)+1)/19)),29),7))&gt;0,(25-MOD((11*MOD(A25-1900,19)+4-INT((7*MOD(A25-1900,19)+1)/19)),29)-MOD(A25-1900+INT((A25-1900)/4)+31-MOD((11*MOD(A25-1900,19)+4-INT((7*MOD(A25-1900,19)+1)/19)),29),7)),31+(25-MOD((11*MOD(A25-1900,19)+4-INT((7*MOD(A25-1900,19)+1)/19)),29)-MOD(A25-1900+INT((A25-1900)/4)+31-MOD((11*MOD(A25-1900,19)+4-INT((7*MOD(A25-1900,19)+1)/19)),29),7))))</f>
        <v>44290</v>
      </c>
      <c r="C26" s="61" t="s">
        <v>11</v>
      </c>
    </row>
    <row r="27" spans="1:3" x14ac:dyDescent="0.25">
      <c r="B27" s="62">
        <f>B26+1</f>
        <v>44291</v>
      </c>
      <c r="C27" s="61" t="s">
        <v>12</v>
      </c>
    </row>
    <row r="28" spans="1:3" x14ac:dyDescent="0.25">
      <c r="B28" s="62">
        <f>DATE(A25,5,1)</f>
        <v>44317</v>
      </c>
      <c r="C28" s="61" t="s">
        <v>13</v>
      </c>
    </row>
    <row r="29" spans="1:3" x14ac:dyDescent="0.25">
      <c r="B29" s="62">
        <f>DATE(A25,5,8)</f>
        <v>44324</v>
      </c>
      <c r="C29" s="61" t="s">
        <v>14</v>
      </c>
    </row>
    <row r="30" spans="1:3" x14ac:dyDescent="0.25">
      <c r="B30" s="62">
        <f>B26+39</f>
        <v>44329</v>
      </c>
      <c r="C30" s="61" t="s">
        <v>15</v>
      </c>
    </row>
    <row r="31" spans="1:3" x14ac:dyDescent="0.25">
      <c r="B31" s="62">
        <f>B26+50</f>
        <v>44340</v>
      </c>
      <c r="C31" s="61" t="s">
        <v>16</v>
      </c>
    </row>
    <row r="32" spans="1:3" x14ac:dyDescent="0.25">
      <c r="B32" s="62">
        <f>DATE(A25,7,14)</f>
        <v>44391</v>
      </c>
      <c r="C32" s="61" t="s">
        <v>17</v>
      </c>
    </row>
    <row r="33" spans="2:3" x14ac:dyDescent="0.25">
      <c r="B33" s="62">
        <f>DATE(A25,8,15)</f>
        <v>44423</v>
      </c>
      <c r="C33" s="61" t="s">
        <v>18</v>
      </c>
    </row>
    <row r="34" spans="2:3" x14ac:dyDescent="0.25">
      <c r="B34" s="62">
        <f>DATE(A25,11,1)</f>
        <v>44501</v>
      </c>
      <c r="C34" s="61" t="s">
        <v>19</v>
      </c>
    </row>
    <row r="35" spans="2:3" x14ac:dyDescent="0.25">
      <c r="B35" s="62">
        <f>DATE(A25,11,11)</f>
        <v>44511</v>
      </c>
      <c r="C35" s="61" t="s">
        <v>20</v>
      </c>
    </row>
    <row r="36" spans="2:3" x14ac:dyDescent="0.25">
      <c r="B36" s="62">
        <f>DATE(A25,12,25)</f>
        <v>44555</v>
      </c>
      <c r="C36" s="61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Devis</vt:lpstr>
      <vt:lpstr>Recap</vt:lpstr>
      <vt:lpstr>Hebdomadaire</vt:lpstr>
      <vt:lpstr>Mensuel</vt:lpstr>
      <vt:lpstr>Parametres</vt:lpstr>
      <vt:lpstr>JF</vt:lpstr>
      <vt:lpstr>JF</vt:lpstr>
      <vt:lpstr>JJF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2019-04-24T10:47:09Z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