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4" activeTab="2"/>
  </bookViews>
  <sheets>
    <sheet name="Données" sheetId="13" r:id="rId1"/>
    <sheet name="Récap Mensuelle" sheetId="27" r:id="rId2"/>
    <sheet name="Récap Annuelle" sheetId="26" r:id="rId3"/>
    <sheet name="Parametres " sheetId="2" r:id="rId4"/>
  </sheets>
  <definedNames>
    <definedName name="_xlnm._FilterDatabase" localSheetId="0" hidden="1">Données!$A$4:$J$18</definedName>
    <definedName name="_xlnm.Criteria" localSheetId="1">'Récap Mensuelle'!$L$13:$M$14</definedName>
    <definedName name="deb_dimJF">'Parametres '!$B$16</definedName>
    <definedName name="deb_nuit">'Parametres '!$B$14</definedName>
    <definedName name="_xlnm.Extract" localSheetId="1">'Récap Mensuelle'!$A$16:$J$16</definedName>
    <definedName name="fin_dimJF">'Parametres '!$B$17</definedName>
    <definedName name="fin_nuit">'Parametres '!$B$15</definedName>
    <definedName name="JF">'Parametres '!$D$1:$D$12</definedName>
    <definedName name="lemois">'Récap Mensuelle'!$J$5</definedName>
    <definedName name="Services">Codes[[#Headers],[Services]]</definedName>
    <definedName name="_xlnm.Print_Area" localSheetId="1">'Récap Mensuelle'!$A$1:$J$27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27" l="1"/>
  <c r="M14" i="27"/>
  <c r="H5" i="27"/>
  <c r="I14" i="26" l="1"/>
  <c r="I4" i="26"/>
  <c r="I5" i="26"/>
  <c r="I6" i="26"/>
  <c r="I7" i="26"/>
  <c r="I8" i="26"/>
  <c r="I9" i="26"/>
  <c r="I10" i="26"/>
  <c r="I11" i="26"/>
  <c r="I12" i="26"/>
  <c r="I13" i="26"/>
  <c r="I3" i="26"/>
  <c r="D14" i="26"/>
  <c r="C14" i="26" s="1"/>
  <c r="H14" i="26"/>
  <c r="B14" i="26"/>
  <c r="F14" i="26"/>
  <c r="E14" i="26" s="1"/>
  <c r="F4" i="26"/>
  <c r="F5" i="26"/>
  <c r="F6" i="26"/>
  <c r="E6" i="26" s="1"/>
  <c r="F7" i="26"/>
  <c r="E7" i="26" s="1"/>
  <c r="F8" i="26"/>
  <c r="F9" i="26"/>
  <c r="F10" i="26"/>
  <c r="E10" i="26" s="1"/>
  <c r="F11" i="26"/>
  <c r="E11" i="26" s="1"/>
  <c r="F12" i="26"/>
  <c r="F13" i="26"/>
  <c r="F3" i="26"/>
  <c r="E3" i="26" s="1"/>
  <c r="D4" i="26"/>
  <c r="D5" i="26"/>
  <c r="D6" i="26"/>
  <c r="C6" i="26" s="1"/>
  <c r="D7" i="26"/>
  <c r="C7" i="26" s="1"/>
  <c r="D8" i="26"/>
  <c r="D9" i="26"/>
  <c r="D10" i="26"/>
  <c r="C10" i="26" s="1"/>
  <c r="D11" i="26"/>
  <c r="C11" i="26" s="1"/>
  <c r="D12" i="26"/>
  <c r="D13" i="26"/>
  <c r="D3" i="26"/>
  <c r="C3" i="26" s="1"/>
  <c r="E4" i="26"/>
  <c r="E5" i="26"/>
  <c r="E8" i="26"/>
  <c r="E9" i="26"/>
  <c r="E12" i="26"/>
  <c r="E13" i="26"/>
  <c r="C4" i="26"/>
  <c r="C5" i="26"/>
  <c r="C8" i="26"/>
  <c r="C9" i="26"/>
  <c r="C12" i="26"/>
  <c r="C13" i="26"/>
  <c r="B4" i="26" l="1"/>
  <c r="B5" i="26"/>
  <c r="B6" i="26"/>
  <c r="B7" i="26"/>
  <c r="B8" i="26"/>
  <c r="B9" i="26"/>
  <c r="B10" i="26"/>
  <c r="B11" i="26"/>
  <c r="B12" i="26"/>
  <c r="B13" i="26"/>
  <c r="B3" i="26"/>
  <c r="M5" i="13"/>
  <c r="M6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A2" i="26"/>
  <c r="J18" i="13" l="1"/>
  <c r="K18" i="13"/>
  <c r="L18" i="13"/>
  <c r="N18" i="13"/>
  <c r="O18" i="13"/>
  <c r="P18" i="13"/>
  <c r="R18" i="13" s="1"/>
  <c r="Q18" i="13"/>
  <c r="S18" i="13"/>
  <c r="T18" i="13"/>
  <c r="U18" i="13"/>
  <c r="V18" i="13"/>
  <c r="I18" i="13" l="1"/>
  <c r="N6" i="13"/>
  <c r="O6" i="13"/>
  <c r="P6" i="13"/>
  <c r="R6" i="13" s="1"/>
  <c r="S6" i="13"/>
  <c r="T6" i="13"/>
  <c r="U6" i="13"/>
  <c r="V6" i="13"/>
  <c r="N7" i="13"/>
  <c r="O7" i="13"/>
  <c r="P7" i="13"/>
  <c r="Q7" i="13" s="1"/>
  <c r="U7" i="13"/>
  <c r="V7" i="13"/>
  <c r="N8" i="13"/>
  <c r="O8" i="13"/>
  <c r="P8" i="13"/>
  <c r="Q8" i="13" s="1"/>
  <c r="U8" i="13"/>
  <c r="V8" i="13"/>
  <c r="N9" i="13"/>
  <c r="O9" i="13"/>
  <c r="P9" i="13"/>
  <c r="Q9" i="13" s="1"/>
  <c r="S9" i="13"/>
  <c r="T9" i="13"/>
  <c r="U9" i="13"/>
  <c r="V9" i="13"/>
  <c r="N10" i="13"/>
  <c r="O10" i="13"/>
  <c r="P10" i="13"/>
  <c r="Q10" i="13" s="1"/>
  <c r="S10" i="13"/>
  <c r="T10" i="13"/>
  <c r="U10" i="13"/>
  <c r="V10" i="13"/>
  <c r="N11" i="13"/>
  <c r="O11" i="13"/>
  <c r="P11" i="13"/>
  <c r="Q11" i="13" s="1"/>
  <c r="S11" i="13"/>
  <c r="T11" i="13"/>
  <c r="U11" i="13"/>
  <c r="V11" i="13"/>
  <c r="N12" i="13"/>
  <c r="O12" i="13"/>
  <c r="P12" i="13"/>
  <c r="Q12" i="13" s="1"/>
  <c r="S12" i="13"/>
  <c r="T12" i="13"/>
  <c r="U12" i="13"/>
  <c r="V12" i="13"/>
  <c r="N13" i="13"/>
  <c r="O13" i="13"/>
  <c r="P13" i="13"/>
  <c r="Q13" i="13" s="1"/>
  <c r="S13" i="13"/>
  <c r="T13" i="13"/>
  <c r="U13" i="13"/>
  <c r="V13" i="13"/>
  <c r="N14" i="13"/>
  <c r="O14" i="13"/>
  <c r="P14" i="13"/>
  <c r="Q14" i="13" s="1"/>
  <c r="U14" i="13"/>
  <c r="V14" i="13"/>
  <c r="N15" i="13"/>
  <c r="O15" i="13"/>
  <c r="P15" i="13"/>
  <c r="Q15" i="13" s="1"/>
  <c r="U15" i="13"/>
  <c r="V15" i="13"/>
  <c r="N16" i="13"/>
  <c r="O16" i="13"/>
  <c r="P16" i="13"/>
  <c r="Q16" i="13" s="1"/>
  <c r="S16" i="13"/>
  <c r="T16" i="13"/>
  <c r="U16" i="13"/>
  <c r="V16" i="13"/>
  <c r="N17" i="13"/>
  <c r="O17" i="13"/>
  <c r="P17" i="13"/>
  <c r="Q17" i="13" s="1"/>
  <c r="S17" i="13"/>
  <c r="T17" i="13"/>
  <c r="U17" i="13"/>
  <c r="V17" i="13"/>
  <c r="J5" i="13"/>
  <c r="J6" i="13"/>
  <c r="J7" i="13"/>
  <c r="J8" i="13"/>
  <c r="J9" i="13"/>
  <c r="J10" i="13"/>
  <c r="J11" i="13"/>
  <c r="J12" i="13"/>
  <c r="J13" i="13"/>
  <c r="J14" i="13"/>
  <c r="J15" i="13"/>
  <c r="J16" i="13"/>
  <c r="J17" i="13"/>
  <c r="K8" i="13"/>
  <c r="K9" i="13"/>
  <c r="K10" i="13"/>
  <c r="K11" i="13"/>
  <c r="K12" i="13"/>
  <c r="K13" i="13"/>
  <c r="K14" i="13"/>
  <c r="K15" i="13"/>
  <c r="K16" i="13"/>
  <c r="K17" i="13"/>
  <c r="L8" i="13"/>
  <c r="L9" i="13"/>
  <c r="L10" i="13"/>
  <c r="L11" i="13"/>
  <c r="L12" i="13"/>
  <c r="L13" i="13"/>
  <c r="L14" i="13"/>
  <c r="L15" i="13"/>
  <c r="L16" i="13"/>
  <c r="L17" i="13"/>
  <c r="R13" i="13" l="1"/>
  <c r="T15" i="13"/>
  <c r="R14" i="13"/>
  <c r="S8" i="13"/>
  <c r="I12" i="13"/>
  <c r="I10" i="13"/>
  <c r="Q6" i="13"/>
  <c r="I17" i="13"/>
  <c r="I9" i="13"/>
  <c r="S14" i="13"/>
  <c r="I14" i="13" s="1"/>
  <c r="T14" i="13"/>
  <c r="R10" i="13"/>
  <c r="I13" i="13"/>
  <c r="R17" i="13"/>
  <c r="I16" i="13"/>
  <c r="I11" i="13"/>
  <c r="R9" i="13"/>
  <c r="T8" i="13"/>
  <c r="T7" i="13"/>
  <c r="R16" i="13"/>
  <c r="S15" i="13"/>
  <c r="I15" i="13" s="1"/>
  <c r="R12" i="13"/>
  <c r="R8" i="13"/>
  <c r="S7" i="13"/>
  <c r="R15" i="13"/>
  <c r="R11" i="13"/>
  <c r="R7" i="13"/>
  <c r="I8" i="13"/>
  <c r="K5" i="13" l="1"/>
  <c r="K6" i="13"/>
  <c r="K7" i="13"/>
  <c r="K16" i="26" l="1"/>
  <c r="I16" i="26" l="1"/>
  <c r="L3" i="26" l="1"/>
  <c r="L5" i="13"/>
  <c r="L6" i="13"/>
  <c r="L7" i="13"/>
  <c r="L4" i="26" l="1"/>
  <c r="L5" i="26" s="1"/>
  <c r="L6" i="26" l="1"/>
  <c r="L7" i="26" l="1"/>
  <c r="L8" i="26" l="1"/>
  <c r="L9" i="26" l="1"/>
  <c r="L10" i="26" l="1"/>
  <c r="L11" i="26" s="1"/>
  <c r="L12" i="26" s="1"/>
  <c r="L13" i="26" l="1"/>
  <c r="P5" i="13"/>
  <c r="Q5" i="13" s="1"/>
  <c r="O5" i="13"/>
  <c r="N5" i="13"/>
  <c r="B16" i="26" l="1"/>
  <c r="H9" i="26"/>
  <c r="H13" i="26"/>
  <c r="H7" i="26"/>
  <c r="H12" i="26"/>
  <c r="H10" i="26"/>
  <c r="H11" i="26"/>
  <c r="H8" i="26"/>
  <c r="L14" i="26"/>
  <c r="L16" i="26" s="1"/>
  <c r="T5" i="13"/>
  <c r="R5" i="13"/>
  <c r="S5" i="13"/>
  <c r="D2" i="2" l="1"/>
  <c r="D3" i="2"/>
  <c r="D4" i="2"/>
  <c r="D5" i="2"/>
  <c r="D8" i="2"/>
  <c r="D9" i="2"/>
  <c r="D10" i="2"/>
  <c r="D11" i="2"/>
  <c r="D12" i="2"/>
  <c r="D1" i="2"/>
  <c r="D7" i="2" l="1"/>
  <c r="D6" i="2"/>
  <c r="I7" i="13" l="1"/>
  <c r="I6" i="13"/>
  <c r="U5" i="13"/>
  <c r="I5" i="13" s="1"/>
  <c r="V5" i="13"/>
  <c r="H3" i="26" l="1"/>
  <c r="H4" i="26" s="1"/>
  <c r="H5" i="26" s="1"/>
  <c r="H6" i="26" s="1"/>
  <c r="E16" i="26"/>
  <c r="F16" i="26"/>
  <c r="D16" i="26" l="1"/>
  <c r="C16" i="26" l="1"/>
</calcChain>
</file>

<file path=xl/sharedStrings.xml><?xml version="1.0" encoding="utf-8"?>
<sst xmlns="http://schemas.openxmlformats.org/spreadsheetml/2006/main" count="258" uniqueCount="139">
  <si>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</si>
  <si>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</si>
  <si>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</si>
  <si>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</si>
  <si>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</si>
  <si>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</si>
  <si>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</si>
  <si>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</si>
  <si>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</si>
  <si>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</si>
  <si>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</si>
  <si>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</si>
  <si>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</si>
  <si>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</si>
  <si>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</si>
  <si>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</si>
  <si>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</si>
  <si>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</si>
  <si>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</si>
  <si>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</si>
  <si>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</si>
  <si>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Matricule:</t>
  </si>
  <si>
    <t>Département:</t>
  </si>
  <si>
    <t>Pause</t>
  </si>
  <si>
    <t>Payée</t>
  </si>
  <si>
    <t>Non payée</t>
  </si>
  <si>
    <t>Début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</si>
  <si>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</si>
  <si>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</si>
  <si>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</si>
  <si>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</si>
  <si>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</si>
  <si>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Prénom: 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</si>
  <si>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</si>
  <si>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</si>
  <si>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</si>
  <si>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</si>
  <si>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</si>
  <si>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</si>
  <si>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</si>
  <si>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</si>
  <si>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</si>
  <si>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 xml:space="preserve">Nom:    </t>
  </si>
  <si>
    <t>MOIS</t>
  </si>
  <si>
    <t>TOTAUX ANNUEL</t>
  </si>
  <si>
    <t>Totaux
sans
majoration</t>
  </si>
  <si>
    <t>MAJORATIONS</t>
  </si>
  <si>
    <t xml:space="preserve">TOTAL DE JOURS TRAVAILLES </t>
  </si>
  <si>
    <t>HEURES</t>
  </si>
  <si>
    <t xml:space="preserve">TOTAL SANS MAJORATION 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</si>
  <si>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</si>
  <si>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</si>
  <si>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</si>
  <si>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</si>
  <si>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</si>
  <si>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</si>
  <si>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</si>
  <si>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</si>
  <si>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</si>
  <si>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</si>
  <si>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</si>
  <si>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</si>
  <si>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</si>
  <si>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</si>
  <si>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</si>
  <si>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</si>
  <si>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</si>
  <si>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</si>
  <si>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</si>
  <si>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</si>
  <si>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</si>
  <si>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</si>
  <si>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</si>
  <si>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</si>
  <si>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</si>
  <si>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</si>
  <si>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</si>
  <si>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</si>
  <si>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</si>
  <si>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40N</t>
  </si>
  <si>
    <t>42N</t>
  </si>
  <si>
    <t>43N</t>
  </si>
  <si>
    <t>44N</t>
  </si>
  <si>
    <t>46N</t>
  </si>
  <si>
    <t>47N</t>
  </si>
  <si>
    <t>48N</t>
  </si>
  <si>
    <t>49N</t>
  </si>
  <si>
    <t>51N</t>
  </si>
  <si>
    <t xml:space="preserve">           DQ RH00008</t>
  </si>
  <si>
    <t>debut</t>
  </si>
  <si>
    <t>fin</t>
  </si>
  <si>
    <t>Services</t>
  </si>
  <si>
    <t>16N</t>
  </si>
  <si>
    <t>27J.SD</t>
  </si>
  <si>
    <t>27J.LV</t>
  </si>
  <si>
    <t>40J.SD</t>
  </si>
  <si>
    <t>40J.LV</t>
  </si>
  <si>
    <t>41N.V</t>
  </si>
  <si>
    <t>45N.LV</t>
  </si>
  <si>
    <t>45N.SD</t>
  </si>
  <si>
    <t>41N.C</t>
  </si>
  <si>
    <t>maladie</t>
  </si>
  <si>
    <t>réunion</t>
  </si>
  <si>
    <t>form Quadri</t>
  </si>
  <si>
    <t>form annuel</t>
  </si>
  <si>
    <t>tir</t>
  </si>
  <si>
    <t>récuperations</t>
  </si>
  <si>
    <t>vacances 173</t>
  </si>
  <si>
    <t>vacances 150</t>
  </si>
  <si>
    <t>non</t>
  </si>
  <si>
    <t>majoration dim &amp; JF</t>
  </si>
  <si>
    <t>Accident</t>
  </si>
  <si>
    <t>JOURS DE VACANCES RESTANTS</t>
  </si>
  <si>
    <t>Vacances 2016</t>
  </si>
  <si>
    <t>Vacances 2017</t>
  </si>
  <si>
    <t>Vacances 2018</t>
  </si>
  <si>
    <t>Vacances 2019</t>
  </si>
  <si>
    <t>Vacances 2020</t>
  </si>
  <si>
    <t>Vacances 2021</t>
  </si>
  <si>
    <t>Vacances 2022</t>
  </si>
  <si>
    <t>Vacances 2023</t>
  </si>
  <si>
    <t>Vacances 2024</t>
  </si>
  <si>
    <t>Vacances 2025</t>
  </si>
  <si>
    <t>Vacances 2026</t>
  </si>
  <si>
    <t>Vacances 2027</t>
  </si>
  <si>
    <t>JOURS DE VACANCES PRIS EN 2018</t>
  </si>
  <si>
    <t>RELIQUATS</t>
  </si>
  <si>
    <t>HORAIRE</t>
  </si>
  <si>
    <t>R1</t>
  </si>
  <si>
    <t>décompte présence</t>
  </si>
  <si>
    <t>oui</t>
  </si>
  <si>
    <t xml:space="preserve">      RELEVE DES HEURES EFFECTUEES</t>
  </si>
  <si>
    <t>Année :</t>
  </si>
  <si>
    <t>Mois :</t>
  </si>
  <si>
    <t>affichage horaires</t>
  </si>
  <si>
    <t>Htotales</t>
  </si>
  <si>
    <t>Présence</t>
  </si>
  <si>
    <t>MajoDimJF</t>
  </si>
  <si>
    <t>Affichage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</si>
</sst>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  <numFmt numFmtId="170" formatCode="mmm\ yyyy"/>
    <numFmt numFmtId="171" formatCode="[hh]:m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20"/>
      <color theme="1"/>
      <name val="Impact"/>
      <family val="2"/>
    </font>
    <font>
      <sz val="11"/>
      <color theme="1"/>
      <name val="Arial"/>
      <family val="2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Arial"/>
      <family val="2"/>
    </font>
    <font>
      <b/>
      <sz val="16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scheme val="minor"/>
    </font>
    <font>
      <u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48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7" fillId="0" borderId="9" xfId="0" applyFont="1" applyBorder="1" applyAlignment="1" applyProtection="1">
      <alignment vertical="center"/>
    </xf>
    <xf numFmtId="0" fontId="7" fillId="0" borderId="13" xfId="0" applyFont="1" applyBorder="1" applyAlignment="1" applyProtection="1">
      <alignment horizontal="left"/>
    </xf>
    <xf numFmtId="0" fontId="7" fillId="0" borderId="14" xfId="0" applyFont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0" fontId="0" fillId="0" borderId="0" xfId="0" applyBorder="1" applyProtection="1"/>
    <xf numFmtId="0" fontId="7" fillId="0" borderId="12" xfId="0" applyFont="1" applyBorder="1" applyAlignment="1" applyProtection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9" fontId="1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7" fillId="0" borderId="8" xfId="0" applyFont="1" applyBorder="1" applyAlignment="1" applyProtection="1">
      <alignment vertical="center"/>
    </xf>
    <xf numFmtId="168" fontId="9" fillId="0" borderId="10" xfId="0" applyNumberFormat="1" applyFont="1" applyBorder="1" applyAlignment="1" applyProtection="1"/>
    <xf numFmtId="0" fontId="3" fillId="0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right" indent="1"/>
    </xf>
    <xf numFmtId="166" fontId="2" fillId="0" borderId="1" xfId="0" applyNumberFormat="1" applyFont="1" applyFill="1" applyBorder="1" applyAlignment="1" applyProtection="1">
      <alignment horizontal="center"/>
    </xf>
    <xf numFmtId="166" fontId="2" fillId="3" borderId="1" xfId="0" applyNumberFormat="1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right" indent="1"/>
    </xf>
    <xf numFmtId="0" fontId="8" fillId="0" borderId="9" xfId="0" applyFont="1" applyBorder="1" applyAlignment="1" applyProtection="1">
      <alignment vertical="center"/>
      <protection locked="0"/>
    </xf>
    <xf numFmtId="0" fontId="8" fillId="0" borderId="13" xfId="0" applyFont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/>
    </xf>
    <xf numFmtId="0" fontId="0" fillId="0" borderId="0" xfId="0" applyNumberFormat="1"/>
    <xf numFmtId="0" fontId="0" fillId="6" borderId="0" xfId="0" applyFill="1"/>
    <xf numFmtId="0" fontId="15" fillId="6" borderId="0" xfId="0" applyFont="1" applyFill="1" applyAlignment="1">
      <alignment horizontal="center" vertical="center"/>
    </xf>
    <xf numFmtId="0" fontId="0" fillId="0" borderId="0" xfId="0" applyBorder="1"/>
    <xf numFmtId="0" fontId="0" fillId="6" borderId="0" xfId="0" applyFill="1" applyBorder="1"/>
    <xf numFmtId="0" fontId="14" fillId="6" borderId="20" xfId="0" applyFont="1" applyFill="1" applyBorder="1" applyAlignment="1">
      <alignment horizontal="center" vertical="center"/>
    </xf>
    <xf numFmtId="0" fontId="0" fillId="6" borderId="21" xfId="0" applyFill="1" applyBorder="1"/>
    <xf numFmtId="0" fontId="0" fillId="6" borderId="0" xfId="0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13" fillId="0" borderId="0" xfId="0" applyNumberFormat="1" applyFont="1" applyAlignment="1" applyProtection="1">
      <alignment horizontal="left" vertical="center"/>
    </xf>
    <xf numFmtId="0" fontId="0" fillId="0" borderId="0" xfId="0" applyNumberFormat="1" applyAlignment="1" applyProtection="1">
      <alignment horizontal="center"/>
    </xf>
    <xf numFmtId="0" fontId="6" fillId="0" borderId="0" xfId="0" applyNumberFormat="1" applyFont="1" applyAlignment="1" applyProtection="1">
      <alignment horizontal="center" vertical="center"/>
    </xf>
    <xf numFmtId="0" fontId="6" fillId="0" borderId="0" xfId="0" applyNumberFormat="1" applyFont="1" applyBorder="1" applyAlignment="1" applyProtection="1">
      <alignment horizontal="center" vertical="center"/>
    </xf>
    <xf numFmtId="0" fontId="9" fillId="0" borderId="0" xfId="0" applyNumberFormat="1" applyFont="1" applyBorder="1" applyAlignment="1" applyProtection="1"/>
    <xf numFmtId="0" fontId="7" fillId="0" borderId="0" xfId="0" applyNumberFormat="1" applyFont="1" applyBorder="1" applyAlignment="1" applyProtection="1">
      <alignment horizontal="center"/>
    </xf>
    <xf numFmtId="0" fontId="1" fillId="0" borderId="5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/>
    </xf>
    <xf numFmtId="0" fontId="7" fillId="0" borderId="9" xfId="0" applyFont="1" applyBorder="1" applyAlignment="1" applyProtection="1">
      <alignment vertical="center"/>
      <protection locked="0"/>
    </xf>
    <xf numFmtId="0" fontId="7" fillId="0" borderId="9" xfId="0" applyFont="1" applyBorder="1" applyAlignment="1" applyProtection="1"/>
    <xf numFmtId="0" fontId="0" fillId="0" borderId="1" xfId="0" applyBorder="1"/>
    <xf numFmtId="20" fontId="0" fillId="0" borderId="1" xfId="0" applyNumberFormat="1" applyBorder="1"/>
    <xf numFmtId="167" fontId="0" fillId="0" borderId="1" xfId="0" applyNumberFormat="1" applyBorder="1"/>
    <xf numFmtId="0" fontId="0" fillId="0" borderId="0" xfId="0" applyNumberFormat="1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0" borderId="0" xfId="0" applyFont="1"/>
    <xf numFmtId="0" fontId="0" fillId="0" borderId="0" xfId="0" applyNumberFormat="1" applyFont="1"/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NumberFormat="1" applyFont="1" applyAlignment="1">
      <alignment horizontal="center"/>
    </xf>
    <xf numFmtId="164" fontId="0" fillId="0" borderId="2" xfId="0" applyNumberFormat="1" applyFont="1" applyBorder="1" applyAlignment="1" applyProtection="1">
      <alignment horizontal="center" vertical="center"/>
      <protection locked="0"/>
    </xf>
    <xf numFmtId="165" fontId="16" fillId="0" borderId="1" xfId="0" applyNumberFormat="1" applyFont="1" applyBorder="1" applyAlignment="1" applyProtection="1">
      <alignment horizontal="center" vertical="center"/>
      <protection locked="0"/>
    </xf>
    <xf numFmtId="165" fontId="0" fillId="2" borderId="1" xfId="0" applyNumberFormat="1" applyFont="1" applyFill="1" applyBorder="1" applyAlignment="1" applyProtection="1">
      <alignment horizontal="center" vertical="center"/>
      <protection locked="0"/>
    </xf>
    <xf numFmtId="43" fontId="0" fillId="5" borderId="1" xfId="1" applyNumberFormat="1" applyFont="1" applyFill="1" applyBorder="1" applyAlignment="1" applyProtection="1">
      <alignment horizontal="center" vertical="center"/>
    </xf>
    <xf numFmtId="43" fontId="0" fillId="0" borderId="1" xfId="1" applyNumberFormat="1" applyFont="1" applyFill="1" applyBorder="1" applyAlignment="1" applyProtection="1">
      <alignment horizontal="center" vertic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167" fontId="0" fillId="3" borderId="1" xfId="0" applyNumberFormat="1" applyFont="1" applyFill="1" applyBorder="1" applyAlignment="1" applyProtection="1">
      <alignment horizontal="center" vertical="center"/>
    </xf>
    <xf numFmtId="43" fontId="0" fillId="3" borderId="1" xfId="1" applyFont="1" applyFill="1" applyBorder="1" applyAlignment="1" applyProtection="1">
      <alignment horizontal="center" vertical="center"/>
    </xf>
    <xf numFmtId="43" fontId="0" fillId="3" borderId="3" xfId="1" applyFont="1" applyFill="1" applyBorder="1" applyAlignment="1" applyProtection="1">
      <alignment horizontal="center" vertical="center"/>
    </xf>
    <xf numFmtId="165" fontId="0" fillId="0" borderId="1" xfId="0" applyNumberFormat="1" applyFont="1" applyBorder="1" applyAlignment="1" applyProtection="1">
      <alignment horizontal="center" vertical="center"/>
      <protection locked="0"/>
    </xf>
    <xf numFmtId="0" fontId="0" fillId="0" borderId="3" xfId="1" applyNumberFormat="1" applyFont="1" applyFill="1" applyBorder="1" applyAlignment="1" applyProtection="1">
      <alignment horizontal="center" vertical="center"/>
    </xf>
    <xf numFmtId="43" fontId="0" fillId="0" borderId="3" xfId="1" applyNumberFormat="1" applyFont="1" applyFill="1" applyBorder="1" applyAlignment="1" applyProtection="1">
      <alignment horizontal="center" vertical="center"/>
    </xf>
    <xf numFmtId="164" fontId="17" fillId="0" borderId="23" xfId="0" applyNumberFormat="1" applyFont="1" applyBorder="1" applyAlignment="1" applyProtection="1">
      <alignment horizontal="center" vertical="center"/>
      <protection locked="0"/>
    </xf>
    <xf numFmtId="0" fontId="17" fillId="0" borderId="7" xfId="0" applyFont="1" applyBorder="1" applyAlignment="1" applyProtection="1">
      <alignment horizontal="center" vertical="center"/>
      <protection locked="0"/>
    </xf>
    <xf numFmtId="165" fontId="17" fillId="0" borderId="7" xfId="0" applyNumberFormat="1" applyFont="1" applyBorder="1" applyAlignment="1" applyProtection="1">
      <alignment horizontal="center" vertical="center"/>
      <protection locked="0"/>
    </xf>
    <xf numFmtId="165" fontId="17" fillId="2" borderId="7" xfId="0" applyNumberFormat="1" applyFont="1" applyFill="1" applyBorder="1" applyAlignment="1" applyProtection="1">
      <alignment horizontal="center" vertical="center"/>
      <protection locked="0"/>
    </xf>
    <xf numFmtId="43" fontId="17" fillId="5" borderId="7" xfId="1" applyNumberFormat="1" applyFont="1" applyFill="1" applyBorder="1" applyAlignment="1" applyProtection="1">
      <alignment horizontal="center" vertical="center"/>
    </xf>
    <xf numFmtId="43" fontId="17" fillId="0" borderId="7" xfId="1" applyNumberFormat="1" applyFont="1" applyFill="1" applyBorder="1" applyAlignment="1" applyProtection="1">
      <alignment horizontal="center" vertical="center"/>
    </xf>
    <xf numFmtId="0" fontId="17" fillId="0" borderId="24" xfId="1" applyNumberFormat="1" applyFont="1" applyFill="1" applyBorder="1" applyAlignment="1" applyProtection="1">
      <alignment horizontal="center" vertical="center"/>
    </xf>
    <xf numFmtId="43" fontId="17" fillId="0" borderId="24" xfId="1" applyNumberFormat="1" applyFont="1" applyFill="1" applyBorder="1" applyAlignment="1" applyProtection="1">
      <alignment horizontal="center" vertical="center"/>
    </xf>
    <xf numFmtId="167" fontId="17" fillId="3" borderId="24" xfId="0" applyNumberFormat="1" applyFont="1" applyFill="1" applyBorder="1" applyAlignment="1" applyProtection="1">
      <alignment horizontal="center" vertical="center"/>
    </xf>
    <xf numFmtId="167" fontId="17" fillId="3" borderId="25" xfId="0" applyNumberFormat="1" applyFont="1" applyFill="1" applyBorder="1" applyAlignment="1" applyProtection="1">
      <alignment horizontal="center" vertical="center"/>
    </xf>
    <xf numFmtId="43" fontId="17" fillId="3" borderId="7" xfId="1" applyNumberFormat="1" applyFont="1" applyFill="1" applyBorder="1" applyAlignment="1" applyProtection="1">
      <alignment horizontal="center" vertical="center"/>
    </xf>
    <xf numFmtId="43" fontId="17" fillId="3" borderId="25" xfId="1" applyNumberFormat="1" applyFont="1" applyFill="1" applyBorder="1" applyAlignment="1" applyProtection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27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165" fontId="12" fillId="0" borderId="1" xfId="0" applyNumberFormat="1" applyFont="1" applyFill="1" applyBorder="1" applyAlignment="1">
      <alignment horizontal="center" vertical="center"/>
    </xf>
    <xf numFmtId="169" fontId="12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7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43" fontId="0" fillId="5" borderId="1" xfId="1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Border="1" applyAlignment="1" applyProtection="1">
      <alignment horizontal="center" vertical="center"/>
    </xf>
    <xf numFmtId="20" fontId="0" fillId="0" borderId="0" xfId="0" applyNumberFormat="1" applyFill="1" applyBorder="1" applyAlignment="1" applyProtection="1">
      <alignment horizontal="center" vertical="center"/>
    </xf>
    <xf numFmtId="0" fontId="0" fillId="0" borderId="0" xfId="0" applyNumberFormat="1" applyFill="1" applyBorder="1" applyAlignment="1" applyProtection="1">
      <alignment horizontal="center" vertical="center"/>
    </xf>
    <xf numFmtId="0" fontId="0" fillId="0" borderId="7" xfId="0" applyFont="1" applyFill="1" applyBorder="1" applyAlignment="1">
      <alignment horizontal="center" vertical="center" wrapText="1"/>
    </xf>
    <xf numFmtId="171" fontId="12" fillId="0" borderId="1" xfId="0" applyNumberFormat="1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ont="1" applyBorder="1" applyAlignment="1" applyProtection="1">
      <alignment horizontal="center"/>
    </xf>
    <xf numFmtId="164" fontId="0" fillId="0" borderId="2" xfId="0" applyNumberFormat="1" applyFont="1" applyBorder="1" applyAlignment="1">
      <alignment horizontal="center" vertical="center"/>
    </xf>
    <xf numFmtId="43" fontId="0" fillId="0" borderId="1" xfId="1" applyNumberFormat="1" applyFont="1" applyFill="1" applyBorder="1" applyAlignment="1">
      <alignment horizontal="center" vertical="center"/>
    </xf>
    <xf numFmtId="0" fontId="8" fillId="0" borderId="9" xfId="0" applyFont="1" applyBorder="1" applyAlignment="1" applyProtection="1"/>
    <xf numFmtId="0" fontId="8" fillId="0" borderId="13" xfId="0" applyFont="1" applyBorder="1" applyAlignment="1" applyProtection="1">
      <alignment horizontal="left"/>
    </xf>
    <xf numFmtId="0" fontId="0" fillId="0" borderId="7" xfId="0" applyFont="1" applyBorder="1" applyAlignment="1" applyProtection="1">
      <alignment horizontal="center" vertical="center"/>
    </xf>
    <xf numFmtId="0" fontId="0" fillId="0" borderId="22" xfId="0" applyFont="1" applyBorder="1" applyAlignment="1" applyProtection="1">
      <alignment horizontal="center" vertical="center"/>
    </xf>
    <xf numFmtId="0" fontId="0" fillId="0" borderId="5" xfId="0" applyFont="1" applyBorder="1" applyAlignment="1" applyProtection="1">
      <alignment horizontal="center" vertical="center"/>
    </xf>
    <xf numFmtId="0" fontId="0" fillId="0" borderId="3" xfId="0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0" fontId="0" fillId="2" borderId="17" xfId="0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2" fontId="0" fillId="5" borderId="7" xfId="0" applyNumberFormat="1" applyFont="1" applyFill="1" applyBorder="1" applyAlignment="1" applyProtection="1">
      <alignment horizontal="center" vertical="center"/>
    </xf>
    <xf numFmtId="2" fontId="0" fillId="5" borderId="22" xfId="0" applyNumberFormat="1" applyFont="1" applyFill="1" applyBorder="1" applyAlignment="1" applyProtection="1">
      <alignment horizontal="center" vertical="center"/>
    </xf>
    <xf numFmtId="2" fontId="0" fillId="5" borderId="5" xfId="0" applyNumberFormat="1" applyFont="1" applyFill="1" applyBorder="1" applyAlignment="1" applyProtection="1">
      <alignment horizontal="center" vertical="center"/>
    </xf>
    <xf numFmtId="0" fontId="0" fillId="4" borderId="7" xfId="0" applyFont="1" applyFill="1" applyBorder="1" applyAlignment="1" applyProtection="1">
      <alignment horizontal="center" vertical="center" wrapText="1"/>
    </xf>
    <xf numFmtId="0" fontId="0" fillId="4" borderId="22" xfId="0" applyFont="1" applyFill="1" applyBorder="1" applyAlignment="1" applyProtection="1">
      <alignment horizontal="center" vertical="center" wrapText="1"/>
    </xf>
    <xf numFmtId="0" fontId="0" fillId="4" borderId="5" xfId="0" applyFont="1" applyFill="1" applyBorder="1" applyAlignment="1" applyProtection="1">
      <alignment horizontal="center" vertical="center" wrapText="1"/>
    </xf>
    <xf numFmtId="0" fontId="0" fillId="0" borderId="7" xfId="0" applyFont="1" applyBorder="1" applyAlignment="1" applyProtection="1">
      <alignment horizontal="center" vertical="top"/>
    </xf>
    <xf numFmtId="0" fontId="0" fillId="0" borderId="5" xfId="0" applyFont="1" applyBorder="1" applyAlignment="1" applyProtection="1">
      <alignment horizontal="center" vertical="top"/>
    </xf>
    <xf numFmtId="0" fontId="7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5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/>
    </xf>
    <xf numFmtId="0" fontId="6" fillId="0" borderId="13" xfId="0" applyFont="1" applyBorder="1" applyAlignment="1" applyProtection="1">
      <alignment horizontal="center" vertical="center"/>
    </xf>
    <xf numFmtId="0" fontId="13" fillId="0" borderId="0" xfId="0" applyFont="1" applyAlignment="1" applyProtection="1">
      <alignment horizontal="left" vertical="center"/>
    </xf>
    <xf numFmtId="0" fontId="0" fillId="0" borderId="7" xfId="0" applyFont="1" applyBorder="1" applyAlignment="1">
      <alignment horizontal="center" vertical="center" wrapText="1"/>
    </xf>
    <xf numFmtId="0" fontId="10" fillId="0" borderId="16" xfId="0" applyNumberFormat="1" applyFont="1" applyFill="1" applyBorder="1" applyAlignment="1">
      <alignment horizontal="center" vertical="center"/>
    </xf>
    <xf numFmtId="171" fontId="19" fillId="0" borderId="18" xfId="0" applyNumberFormat="1" applyFont="1" applyFill="1" applyBorder="1" applyAlignment="1">
      <alignment horizontal="center" vertical="center"/>
    </xf>
    <xf numFmtId="2" fontId="10" fillId="0" borderId="19" xfId="0" applyNumberFormat="1" applyFont="1" applyFill="1" applyBorder="1" applyAlignment="1">
      <alignment horizontal="center" vertical="center"/>
    </xf>
    <xf numFmtId="171" fontId="19" fillId="0" borderId="15" xfId="0" applyNumberFormat="1" applyFont="1" applyFill="1" applyBorder="1" applyAlignment="1">
      <alignment horizontal="center" vertical="center"/>
    </xf>
    <xf numFmtId="2" fontId="10" fillId="0" borderId="16" xfId="0" applyNumberFormat="1" applyFont="1" applyFill="1" applyBorder="1" applyAlignment="1">
      <alignment horizontal="center" vertical="center"/>
    </xf>
  </cellXfs>
  <cellStyles count="3">
    <cellStyle name="Milliers" xfId="1" builtinId="3"/>
    <cellStyle name="Milliers 2" xfId="2"/>
    <cellStyle name="Normal" xfId="0" builtinId="0"/>
  </cellStyles>
  <dxfs count="37">
    <dxf>
      <fill>
        <patternFill patternType="none">
          <fgColor indexed="64"/>
          <bgColor auto="1"/>
        </patternFill>
      </fill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protection locked="1" hidden="0"/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374650</xdr:colOff>
      <xdr:row>4</xdr:row>
      <xdr:rowOff>139700</xdr:rowOff>
    </xdr:from>
    <xdr:to>
      <xdr:col>15</xdr:col>
      <xdr:colOff>266700</xdr:colOff>
      <xdr:row>11</xdr:row>
      <xdr:rowOff>76200</xdr:rowOff>
    </xdr:to>
    <xdr:sp macro="" textlink="">
      <xdr:nvSpPr>
        <xdr:cNvPr id="2" name="Légende encadrée 1 1"/>
        <xdr:cNvSpPr/>
      </xdr:nvSpPr>
      <xdr:spPr>
        <a:xfrm>
          <a:off x="10128250" y="914400"/>
          <a:ext cx="1416050" cy="1244600"/>
        </a:xfrm>
        <a:prstGeom prst="borderCallout1">
          <a:avLst>
            <a:gd name="adj1" fmla="val 18750"/>
            <a:gd name="adj2" fmla="val -8333"/>
            <a:gd name="adj3" fmla="val -5585"/>
            <a:gd name="adj4" fmla="val -77346"/>
          </a:avLst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Introduire une date (ex.: 1/4/2018) et imprimer ensuite</a:t>
          </a:r>
        </a:p>
        <a:p>
          <a:pPr algn="l"/>
          <a:endParaRPr lang="fr-FR" sz="1100" b="1"/>
        </a:p>
        <a:p>
          <a:pPr algn="l"/>
          <a:r>
            <a:rPr lang="fr-FR" sz="1100" b="1"/>
            <a:t>Ne rien modifier en</a:t>
          </a:r>
          <a:r>
            <a:rPr lang="fr-FR" sz="1100" b="1" baseline="0"/>
            <a:t> dehors de la zone J5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5" name="data" displayName="data" ref="A4:V18" totalsRowShown="0" headerRowDxfId="35" dataDxfId="33" headerRowBorderDxfId="34" tableBorderDxfId="32" totalsRowBorderDxfId="31">
  <tableColumns count="22">
    <tableColumn id="1" name="Date" dataDxfId="30"/>
    <tableColumn id="2" name="Service" dataDxfId="29"/>
    <tableColumn id="3" name="Début" dataDxfId="28"/>
    <tableColumn id="4" name="Fin" dataDxfId="27"/>
    <tableColumn id="5" name="PP Début" dataDxfId="26"/>
    <tableColumn id="6" name="PP Fin" dataDxfId="25"/>
    <tableColumn id="7" name="PNP Début" dataDxfId="24"/>
    <tableColumn id="8" name="PNP Fin" dataDxfId="23"/>
    <tableColumn id="10" name="Majoration" dataDxfId="22" dataCellStyle="Milliers">
      <calculatedColumnFormula>0.1*(data[[#This Row],[Heures de nuit]]+IF(data[[#This Row],[MajoDimJF]]="non",0,data[[#This Row],[heures jour dimanche]]+data[[#This Row],[heures jour fériés]]))-IF(data[[#This Row],[Service]]="R1",1,0)</calculatedColumnFormula>
    </tableColumn>
    <tableColumn id="9" name="Htotales" dataDxfId="21" dataCellStyle="Milliers">
      <calculatedColumnFormula>(MOD(data[[#This Row],[Fin]]-data[[#This Row],[Début]],1)-MOD(data[[#This Row],[PNP Fin]]-data[[#This Row],[PNP Début]],1))*24+IF(data[[#This Row],[Service]]="R1",1,0)</calculatedColumnFormula>
    </tableColumn>
    <tableColumn id="20" name="Présence" dataDxfId="20" dataCellStyle="Milliers">
      <calculatedColumnFormula>IFERROR(IF(VLOOKUP(data[[#This Row],[Service]],Codes[],5,0)="oui",1,0),0)</calculatedColumnFormula>
    </tableColumn>
    <tableColumn id="21" name="MajoDimJF" dataDxfId="19" dataCellStyle="Milliers">
      <calculatedColumnFormula>IFERROR(VLOOKUP(data[[#This Row],[Service]],Codes[],4,0),"")</calculatedColumnFormula>
    </tableColumn>
    <tableColumn id="22" name="Affichage" dataDxfId="18" dataCellStyle="Milliers">
      <calculatedColumnFormula>IFERROR(VLOOKUP(data[[#This Row],[Service]],Codes[],5,0),"")</calculatedColumnFormula>
    </tableColumn>
    <tableColumn id="15" name="PNP Début corrigé" dataDxfId="17">
      <calculatedColumnFormula>IF(data[[#This Row],[PNP Début]]=0,0,IF(data[[#This Row],[PNP Début]]&lt;data[[#This Row],[Début]],1,0)+data[[#This Row],[PNP Début]])</calculatedColumnFormula>
    </tableColumn>
    <tableColumn id="16" name="PNP Fin corrigée" dataDxfId="16">
      <calculatedColumnFormula>IF(data[[#This Row],[PNP Fin]]=0,0,IF(data[[#This Row],[PNP Fin]]&lt;data[[#This Row],[Début]],1,0)+data[[#This Row],[PNP Fin]])</calculatedColumnFormula>
    </tableColumn>
    <tableColumn id="14" name="Fin corrigée si nuit" dataDxfId="15">
      <calculatedColumnFormula>IF(data[[#This Row],[Fin]]&lt;data[[#This Row],[Début]],1,0)+data[[#This Row],[Fin]]</calculatedColumnFormula>
    </tableColumn>
    <tableColumn id="13" name="Heures de nuit" dataDxfId="14" dataCellStyle="Milliers">
      <calculatedColumnFormula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calculatedColumnFormula>
    </tableColumn>
    <tableColumn id="17" name="Heures de nuit hors PNP" dataDxfId="13" dataCellStyle="Milliers">
      <calculatedColumnFormula>(MAX(0,MIN(data[[#This Row],[Fin corrigée si nuit]],fin_nuit)-MAX(data[[#This Row],[Début]],deb_nuit))-IF(data[[#This Row],[PNP Début]]=0,0,MIN(data[[#This Row],[PNP Fin corrigée]],fin_nuit)-MAX(data[[#This Row],[PNP Début corrigé]],deb_nuit)))*24</calculatedColumnFormula>
    </tableColumn>
    <tableColumn id="18" name="heures jour dimanche" dataDxfId="12" dataCellStyle="Milliers">
      <calculatedColumnFormula>(IF(WEEKDAY(data[[#This Row],[Date]],2)=7,MAX(0,MIN(fin_dimJF,data[[#This Row],[Fin corrigée si nuit]])-MAX(deb_dimJF,data[[#This Row],[Début]])),0)+IF(WEEKDAY(data[[#This Row],[Date]],2)=6,MAX(0,data[[#This Row],[Fin corrigée si nuit]]-(1+deb_dimJF)),0))*24</calculatedColumnFormula>
    </tableColumn>
    <tableColumn id="11" name="heures jour dimanche hors PNP" dataDxfId="11" dataCellStyle="Milliers">
      <calculatedColumnFormula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calculatedColumnFormula>
    </tableColumn>
    <tableColumn id="19" name="heures jour fériés" dataDxfId="10" dataCellStyle="Milliers">
      <calculatedColumnFormula>(IF(COUNTIF(JF,data[[#This Row],[Date]]),MAX(0,MIN(fin_dimJF,data[[#This Row],[Fin corrigée si nuit]])-MAX(deb_dimJF,data[[#This Row],[Début]])),0)+IF(COUNTIF(JF,data[[#This Row],[Date]]+1),MAX(0,data[[#This Row],[Fin corrigée si nuit]]-(1+deb_dimJF)),0))*24</calculatedColumnFormula>
    </tableColumn>
    <tableColumn id="12" name="heures jour fériés hors PNP" dataDxfId="9" dataCellStyle="Milliers">
      <calculatedColumnFormula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Codes" displayName="Codes" ref="A19:F76" totalsRowShown="0" headerRowDxfId="8" dataDxfId="7" tableBorderDxfId="6">
  <autoFilter ref="A19:F76"/>
  <sortState ref="A23:C71">
    <sortCondition ref="A22:A71"/>
  </sortState>
  <tableColumns count="6">
    <tableColumn id="1" name="Services" dataDxfId="5"/>
    <tableColumn id="2" name="debut" dataDxfId="4"/>
    <tableColumn id="3" name="fin" dataDxfId="3"/>
    <tableColumn id="4" name="majoration dim &amp; JF" dataDxfId="2"/>
    <tableColumn id="5" name="décompte présence" dataDxfId="1"/>
    <tableColumn id="6" name="affichage horaires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Y18"/>
  <sheetViews>
    <sheetView zoomScaleNormal="100" zoomScalePageLayoutView="55" workbookViewId="0">
      <selection activeCell="J4" sqref="A1:J4"/>
    </sheetView>
  </sheetViews>
  <sheetFormatPr baseColWidth="10" defaultColWidth="11.6328125" defaultRowHeight="14.5" x14ac:dyDescent="0.35"/>
  <cols>
    <col min="1" max="1" width="22" style="59" bestFit="1" customWidth="1"/>
    <col min="2" max="2" width="14" style="59" customWidth="1"/>
    <col min="3" max="9" width="11.7265625" style="59" bestFit="1" customWidth="1"/>
    <col min="10" max="10" width="11.7265625" style="63" bestFit="1" customWidth="1"/>
    <col min="11" max="11" width="11.7265625" style="64" hidden="1" customWidth="1"/>
    <col min="12" max="13" width="11.7265625" style="63" hidden="1" customWidth="1"/>
    <col min="14" max="22" width="11.7265625" style="59" hidden="1" customWidth="1"/>
    <col min="23" max="16384" width="11.6328125" style="59"/>
  </cols>
  <sheetData>
    <row r="1" spans="1:25" ht="14.5" customHeight="1" x14ac:dyDescent="0.35">
      <c r="A1" s="119" t="s">
        <v>0</v>
      </c>
      <c r="B1" s="119" t="s">
        <v>1</v>
      </c>
      <c r="C1" s="122" t="s">
        <v>2</v>
      </c>
      <c r="D1" s="123"/>
      <c r="E1" s="124" t="s">
        <v>23</v>
      </c>
      <c r="F1" s="125"/>
      <c r="G1" s="125"/>
      <c r="H1" s="126"/>
      <c r="I1" s="127" t="s">
        <v>20</v>
      </c>
      <c r="J1" s="130" t="s">
        <v>45</v>
      </c>
      <c r="K1" s="56"/>
      <c r="L1" s="57"/>
      <c r="M1" s="57"/>
      <c r="N1" s="58"/>
      <c r="O1" s="58"/>
      <c r="P1" s="58"/>
      <c r="Q1" s="58"/>
      <c r="R1" s="58"/>
      <c r="S1" s="58"/>
      <c r="T1" s="58"/>
      <c r="U1" s="58"/>
      <c r="V1" s="58"/>
      <c r="X1" s="60"/>
      <c r="Y1" s="60"/>
    </row>
    <row r="2" spans="1:25" x14ac:dyDescent="0.35">
      <c r="A2" s="120"/>
      <c r="B2" s="120"/>
      <c r="C2" s="133" t="s">
        <v>3</v>
      </c>
      <c r="D2" s="133" t="s">
        <v>4</v>
      </c>
      <c r="E2" s="124" t="s">
        <v>24</v>
      </c>
      <c r="F2" s="126"/>
      <c r="G2" s="124" t="s">
        <v>25</v>
      </c>
      <c r="H2" s="126"/>
      <c r="I2" s="128"/>
      <c r="J2" s="131"/>
      <c r="K2" s="56"/>
      <c r="L2" s="57"/>
      <c r="M2" s="57"/>
      <c r="N2" s="58"/>
      <c r="O2" s="58"/>
      <c r="P2" s="58"/>
      <c r="Q2" s="58"/>
      <c r="R2" s="58"/>
      <c r="S2" s="58"/>
      <c r="T2" s="58"/>
      <c r="U2" s="58"/>
      <c r="V2" s="58"/>
      <c r="X2" s="60"/>
      <c r="Y2" s="60"/>
    </row>
    <row r="3" spans="1:25" x14ac:dyDescent="0.35">
      <c r="A3" s="121"/>
      <c r="B3" s="121"/>
      <c r="C3" s="134"/>
      <c r="D3" s="134"/>
      <c r="E3" s="42" t="s">
        <v>26</v>
      </c>
      <c r="F3" s="42" t="s">
        <v>4</v>
      </c>
      <c r="G3" s="42" t="s">
        <v>26</v>
      </c>
      <c r="H3" s="42" t="s">
        <v>4</v>
      </c>
      <c r="I3" s="129"/>
      <c r="J3" s="132"/>
      <c r="K3" s="56"/>
      <c r="L3" s="57"/>
      <c r="M3" s="57"/>
      <c r="N3" s="61"/>
      <c r="O3" s="58"/>
      <c r="P3" s="58"/>
      <c r="Q3" s="58"/>
      <c r="R3" s="58"/>
      <c r="S3" s="58"/>
      <c r="T3" s="58"/>
      <c r="U3" s="58"/>
      <c r="V3" s="58"/>
    </row>
    <row r="4" spans="1:25" s="62" customFormat="1" ht="29" customHeight="1" x14ac:dyDescent="0.35">
      <c r="A4" s="9" t="s">
        <v>0</v>
      </c>
      <c r="B4" s="10" t="s">
        <v>1</v>
      </c>
      <c r="C4" s="10" t="s">
        <v>26</v>
      </c>
      <c r="D4" s="10" t="s">
        <v>4</v>
      </c>
      <c r="E4" s="10" t="s">
        <v>8</v>
      </c>
      <c r="F4" s="10" t="s">
        <v>9</v>
      </c>
      <c r="G4" s="10" t="s">
        <v>10</v>
      </c>
      <c r="H4" s="10" t="s">
        <v>11</v>
      </c>
      <c r="I4" s="10" t="s">
        <v>20</v>
      </c>
      <c r="J4" s="10" t="s">
        <v>135</v>
      </c>
      <c r="K4" s="49" t="s">
        <v>136</v>
      </c>
      <c r="L4" s="10" t="s">
        <v>137</v>
      </c>
      <c r="M4" s="10" t="s">
        <v>138</v>
      </c>
      <c r="N4" s="10" t="s">
        <v>17</v>
      </c>
      <c r="O4" s="10" t="s">
        <v>18</v>
      </c>
      <c r="P4" s="10" t="s">
        <v>16</v>
      </c>
      <c r="Q4" s="10" t="s">
        <v>29</v>
      </c>
      <c r="R4" s="10" t="s">
        <v>19</v>
      </c>
      <c r="S4" s="10" t="s">
        <v>5</v>
      </c>
      <c r="T4" s="10" t="s">
        <v>30</v>
      </c>
      <c r="U4" s="11" t="s">
        <v>6</v>
      </c>
      <c r="V4" s="11" t="s">
        <v>31</v>
      </c>
    </row>
    <row r="5" spans="1:25" x14ac:dyDescent="0.35">
      <c r="A5" s="65">
        <v>43132</v>
      </c>
      <c r="B5" s="1" t="s">
        <v>58</v>
      </c>
      <c r="C5" s="66">
        <v>0.75</v>
      </c>
      <c r="D5" s="66">
        <v>0.25</v>
      </c>
      <c r="E5" s="67">
        <v>4.1666666666666664E-2</v>
      </c>
      <c r="F5" s="67">
        <v>8.3333333333333329E-2</v>
      </c>
      <c r="G5" s="67">
        <v>8.3333333333333329E-2</v>
      </c>
      <c r="H5" s="67">
        <v>0.125</v>
      </c>
      <c r="I5" s="68">
        <f>0.1*(data[[#This Row],[Heures de nuit]]+IF(data[[#This Row],[MajoDimJF]]="non",0,data[[#This Row],[heures jour dimanche]]+data[[#This Row],[heures jour fériés]]))-IF(data[[#This Row],[Service]]="R1",1,0)</f>
        <v>0.7</v>
      </c>
      <c r="J5" s="69">
        <f>(MOD(data[[#This Row],[Fin]]-data[[#This Row],[Début]],1)-MOD(data[[#This Row],[PNP Fin]]-data[[#This Row],[PNP Début]],1))*24+IF(data[[#This Row],[Service]]="R1",1,0)</f>
        <v>11</v>
      </c>
      <c r="K5" s="70">
        <f>IFERROR(IF(VLOOKUP(data[[#This Row],[Service]],Codes[],5,0)="oui",1,0),0)</f>
        <v>1</v>
      </c>
      <c r="L5" s="69">
        <f>IFERROR(VLOOKUP(data[[#This Row],[Service]],Codes[],4,0),"")</f>
        <v>0</v>
      </c>
      <c r="M5" s="69" t="str">
        <f>IFERROR(VLOOKUP(data[[#This Row],[Service]],Codes[],5,0),"")</f>
        <v>oui</v>
      </c>
      <c r="N5" s="71">
        <f>IF(data[[#This Row],[PNP Début]]=0,0,IF(data[[#This Row],[PNP Début]]&lt;data[[#This Row],[Début]],1,0)+data[[#This Row],[PNP Début]])</f>
        <v>1.0833333333333333</v>
      </c>
      <c r="O5" s="71">
        <f>IF(data[[#This Row],[PNP Fin]]=0,0,IF(data[[#This Row],[PNP Fin]]&lt;data[[#This Row],[Début]],1,0)+data[[#This Row],[PNP Fin]])</f>
        <v>1.125</v>
      </c>
      <c r="P5" s="71">
        <f>IF(data[[#This Row],[Fin]]&lt;data[[#This Row],[Début]],1,0)+data[[#This Row],[Fin]]</f>
        <v>1.25</v>
      </c>
      <c r="Q5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5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5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5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5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5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6" spans="1:25" x14ac:dyDescent="0.35">
      <c r="A6" s="65">
        <v>43133</v>
      </c>
      <c r="B6" s="1" t="s">
        <v>58</v>
      </c>
      <c r="C6" s="66">
        <v>0.75</v>
      </c>
      <c r="D6" s="66">
        <v>0.25</v>
      </c>
      <c r="E6" s="67">
        <v>4.1666666666666664E-2</v>
      </c>
      <c r="F6" s="67">
        <v>8.3333333333333329E-2</v>
      </c>
      <c r="G6" s="67">
        <v>8.3333333333333329E-2</v>
      </c>
      <c r="H6" s="67">
        <v>0.125</v>
      </c>
      <c r="I6" s="68">
        <f>0.1*(data[[#This Row],[Heures de nuit]]+IF(data[[#This Row],[MajoDimJF]]="non",0,data[[#This Row],[heures jour dimanche]]+data[[#This Row],[heures jour fériés]]))-IF(data[[#This Row],[Service]]="R1",1,0)</f>
        <v>0.7</v>
      </c>
      <c r="J6" s="69">
        <f>(MOD(data[[#This Row],[Fin]]-data[[#This Row],[Début]],1)-MOD(data[[#This Row],[PNP Fin]]-data[[#This Row],[PNP Début]],1))*24+IF(data[[#This Row],[Service]]="R1",1,0)</f>
        <v>11</v>
      </c>
      <c r="K6" s="70">
        <f>IFERROR(IF(VLOOKUP(data[[#This Row],[Service]],Codes[],5,0)="oui",1,0),0)</f>
        <v>1</v>
      </c>
      <c r="L6" s="69">
        <f>IFERROR(VLOOKUP(data[[#This Row],[Service]],Codes[],4,0),"")</f>
        <v>0</v>
      </c>
      <c r="M6" s="69" t="str">
        <f>IFERROR(VLOOKUP(data[[#This Row],[Service]],Codes[],5,0),"")</f>
        <v>oui</v>
      </c>
      <c r="N6" s="71">
        <f>IF(data[[#This Row],[PNP Début]]=0,0,IF(data[[#This Row],[PNP Début]]&lt;data[[#This Row],[Début]],1,0)+data[[#This Row],[PNP Début]])</f>
        <v>1.0833333333333333</v>
      </c>
      <c r="O6" s="71">
        <f>IF(data[[#This Row],[PNP Fin]]=0,0,IF(data[[#This Row],[PNP Fin]]&lt;data[[#This Row],[Début]],1,0)+data[[#This Row],[PNP Fin]])</f>
        <v>1.125</v>
      </c>
      <c r="P6" s="71">
        <f>IF(data[[#This Row],[Fin]]&lt;data[[#This Row],[Début]],1,0)+data[[#This Row],[Fin]]</f>
        <v>1.25</v>
      </c>
      <c r="Q6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6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6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6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6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6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7" spans="1:25" x14ac:dyDescent="0.35">
      <c r="A7" s="65">
        <v>43134</v>
      </c>
      <c r="B7" s="1" t="s">
        <v>58</v>
      </c>
      <c r="C7" s="74">
        <v>0.75</v>
      </c>
      <c r="D7" s="74">
        <v>0.25</v>
      </c>
      <c r="E7" s="67">
        <v>4.1666666666666664E-2</v>
      </c>
      <c r="F7" s="67">
        <v>8.3333333333333329E-2</v>
      </c>
      <c r="G7" s="67">
        <v>8.3333333333333329E-2</v>
      </c>
      <c r="H7" s="67">
        <v>0.125</v>
      </c>
      <c r="I7" s="68">
        <f>0.1*(data[[#This Row],[Heures de nuit]]+IF(data[[#This Row],[MajoDimJF]]="non",0,data[[#This Row],[heures jour dimanche]]+data[[#This Row],[heures jour fériés]]))-IF(data[[#This Row],[Service]]="R1",1,0)</f>
        <v>0.7</v>
      </c>
      <c r="J7" s="69">
        <f>(MOD(data[[#This Row],[Fin]]-data[[#This Row],[Début]],1)-MOD(data[[#This Row],[PNP Fin]]-data[[#This Row],[PNP Début]],1))*24+IF(data[[#This Row],[Service]]="R1",1,0)</f>
        <v>11</v>
      </c>
      <c r="K7" s="70">
        <f>IFERROR(IF(VLOOKUP(data[[#This Row],[Service]],Codes[],5,0)="oui",1,0),0)</f>
        <v>1</v>
      </c>
      <c r="L7" s="69">
        <f>IFERROR(VLOOKUP(data[[#This Row],[Service]],Codes[],4,0),"")</f>
        <v>0</v>
      </c>
      <c r="M7" s="69" t="str">
        <f>IFERROR(VLOOKUP(data[[#This Row],[Service]],Codes[],5,0),"")</f>
        <v>oui</v>
      </c>
      <c r="N7" s="71">
        <f>IF(data[[#This Row],[PNP Début]]=0,0,IF(data[[#This Row],[PNP Début]]&lt;data[[#This Row],[Début]],1,0)+data[[#This Row],[PNP Début]])</f>
        <v>1.0833333333333333</v>
      </c>
      <c r="O7" s="71">
        <f>IF(data[[#This Row],[PNP Fin]]=0,0,IF(data[[#This Row],[PNP Fin]]&lt;data[[#This Row],[Début]],1,0)+data[[#This Row],[PNP Fin]])</f>
        <v>1.125</v>
      </c>
      <c r="P7" s="71">
        <f>IF(data[[#This Row],[Fin]]&lt;data[[#This Row],[Début]],1,0)+data[[#This Row],[Fin]]</f>
        <v>1.25</v>
      </c>
      <c r="Q7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7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7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7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7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7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8" spans="1:25" x14ac:dyDescent="0.35">
      <c r="A8" s="65">
        <v>43135</v>
      </c>
      <c r="B8" s="1" t="s">
        <v>58</v>
      </c>
      <c r="C8" s="74">
        <v>0.75</v>
      </c>
      <c r="D8" s="74">
        <v>0.25</v>
      </c>
      <c r="E8" s="67">
        <v>4.1666666666666664E-2</v>
      </c>
      <c r="F8" s="67">
        <v>8.3333333333333329E-2</v>
      </c>
      <c r="G8" s="67">
        <v>8.3333333333333329E-2</v>
      </c>
      <c r="H8" s="67">
        <v>0.125</v>
      </c>
      <c r="I8" s="68">
        <f>0.1*(data[[#This Row],[Heures de nuit]]+IF(data[[#This Row],[MajoDimJF]]="non",0,data[[#This Row],[heures jour dimanche]]+data[[#This Row],[heures jour fériés]]))-IF(data[[#This Row],[Service]]="R1",1,0)</f>
        <v>1.2000000000000002</v>
      </c>
      <c r="J8" s="69">
        <f>(MOD(data[[#This Row],[Fin]]-data[[#This Row],[Début]],1)-MOD(data[[#This Row],[PNP Fin]]-data[[#This Row],[PNP Début]],1))*24+IF(data[[#This Row],[Service]]="R1",1,0)</f>
        <v>11</v>
      </c>
      <c r="K8" s="75">
        <f>IFERROR(IF(VLOOKUP(data[[#This Row],[Service]],Codes[],5,0)="oui",1,0),0)</f>
        <v>1</v>
      </c>
      <c r="L8" s="76">
        <f>IFERROR(VLOOKUP(data[[#This Row],[Service]],Codes[],4,0),"")</f>
        <v>0</v>
      </c>
      <c r="M8" s="76" t="str">
        <f>IFERROR(VLOOKUP(data[[#This Row],[Service]],Codes[],5,0),"")</f>
        <v>oui</v>
      </c>
      <c r="N8" s="71">
        <f>IF(data[[#This Row],[PNP Début]]=0,0,IF(data[[#This Row],[PNP Début]]&lt;data[[#This Row],[Début]],1,0)+data[[#This Row],[PNP Début]])</f>
        <v>1.0833333333333333</v>
      </c>
      <c r="O8" s="71">
        <f>IF(data[[#This Row],[PNP Fin]]=0,0,IF(data[[#This Row],[PNP Fin]]&lt;data[[#This Row],[Début]],1,0)+data[[#This Row],[PNP Fin]])</f>
        <v>1.125</v>
      </c>
      <c r="P8" s="71">
        <f>IF(data[[#This Row],[Fin]]&lt;data[[#This Row],[Début]],1,0)+data[[#This Row],[Fin]]</f>
        <v>1.25</v>
      </c>
      <c r="Q8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8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8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5.0000000000000009</v>
      </c>
      <c r="T8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5.0000000000000009</v>
      </c>
      <c r="U8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8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9" spans="1:25" x14ac:dyDescent="0.35">
      <c r="A9" s="65">
        <v>43136</v>
      </c>
      <c r="B9" s="1" t="s">
        <v>58</v>
      </c>
      <c r="C9" s="74">
        <v>0.75</v>
      </c>
      <c r="D9" s="74">
        <v>0.25</v>
      </c>
      <c r="E9" s="67">
        <v>4.1666666666666664E-2</v>
      </c>
      <c r="F9" s="67">
        <v>8.3333333333333329E-2</v>
      </c>
      <c r="G9" s="67">
        <v>8.3333333333333329E-2</v>
      </c>
      <c r="H9" s="67">
        <v>0.125</v>
      </c>
      <c r="I9" s="68">
        <f>0.1*(data[[#This Row],[Heures de nuit]]+IF(data[[#This Row],[MajoDimJF]]="non",0,data[[#This Row],[heures jour dimanche]]+data[[#This Row],[heures jour fériés]]))-IF(data[[#This Row],[Service]]="R1",1,0)</f>
        <v>0.7</v>
      </c>
      <c r="J9" s="69">
        <f>(MOD(data[[#This Row],[Fin]]-data[[#This Row],[Début]],1)-MOD(data[[#This Row],[PNP Fin]]-data[[#This Row],[PNP Début]],1))*24+IF(data[[#This Row],[Service]]="R1",1,0)</f>
        <v>11</v>
      </c>
      <c r="K9" s="75">
        <f>IFERROR(IF(VLOOKUP(data[[#This Row],[Service]],Codes[],5,0)="oui",1,0),0)</f>
        <v>1</v>
      </c>
      <c r="L9" s="76">
        <f>IFERROR(VLOOKUP(data[[#This Row],[Service]],Codes[],4,0),"")</f>
        <v>0</v>
      </c>
      <c r="M9" s="76" t="str">
        <f>IFERROR(VLOOKUP(data[[#This Row],[Service]],Codes[],5,0),"")</f>
        <v>oui</v>
      </c>
      <c r="N9" s="71">
        <f>IF(data[[#This Row],[PNP Début]]=0,0,IF(data[[#This Row],[PNP Début]]&lt;data[[#This Row],[Début]],1,0)+data[[#This Row],[PNP Début]])</f>
        <v>1.0833333333333333</v>
      </c>
      <c r="O9" s="71">
        <f>IF(data[[#This Row],[PNP Fin]]=0,0,IF(data[[#This Row],[PNP Fin]]&lt;data[[#This Row],[Début]],1,0)+data[[#This Row],[PNP Fin]])</f>
        <v>1.125</v>
      </c>
      <c r="P9" s="71">
        <f>IF(data[[#This Row],[Fin]]&lt;data[[#This Row],[Début]],1,0)+data[[#This Row],[Fin]]</f>
        <v>1.25</v>
      </c>
      <c r="Q9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9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9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9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9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9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0" spans="1:25" x14ac:dyDescent="0.35">
      <c r="A10" s="65">
        <v>43137</v>
      </c>
      <c r="B10" s="1" t="s">
        <v>58</v>
      </c>
      <c r="C10" s="74">
        <v>0.75</v>
      </c>
      <c r="D10" s="74">
        <v>0.25</v>
      </c>
      <c r="E10" s="67">
        <v>4.1666666666666664E-2</v>
      </c>
      <c r="F10" s="67">
        <v>8.3333333333333329E-2</v>
      </c>
      <c r="G10" s="67">
        <v>8.3333333333333329E-2</v>
      </c>
      <c r="H10" s="67">
        <v>0.125</v>
      </c>
      <c r="I10" s="68">
        <f>0.1*(data[[#This Row],[Heures de nuit]]+IF(data[[#This Row],[MajoDimJF]]="non",0,data[[#This Row],[heures jour dimanche]]+data[[#This Row],[heures jour fériés]]))-IF(data[[#This Row],[Service]]="R1",1,0)</f>
        <v>0.7</v>
      </c>
      <c r="J10" s="69">
        <f>(MOD(data[[#This Row],[Fin]]-data[[#This Row],[Début]],1)-MOD(data[[#This Row],[PNP Fin]]-data[[#This Row],[PNP Début]],1))*24+IF(data[[#This Row],[Service]]="R1",1,0)</f>
        <v>11</v>
      </c>
      <c r="K10" s="75">
        <f>IFERROR(IF(VLOOKUP(data[[#This Row],[Service]],Codes[],5,0)="oui",1,0),0)</f>
        <v>1</v>
      </c>
      <c r="L10" s="76">
        <f>IFERROR(VLOOKUP(data[[#This Row],[Service]],Codes[],4,0),"")</f>
        <v>0</v>
      </c>
      <c r="M10" s="76" t="str">
        <f>IFERROR(VLOOKUP(data[[#This Row],[Service]],Codes[],5,0),"")</f>
        <v>oui</v>
      </c>
      <c r="N10" s="71">
        <f>IF(data[[#This Row],[PNP Début]]=0,0,IF(data[[#This Row],[PNP Début]]&lt;data[[#This Row],[Début]],1,0)+data[[#This Row],[PNP Début]])</f>
        <v>1.0833333333333333</v>
      </c>
      <c r="O10" s="71">
        <f>IF(data[[#This Row],[PNP Fin]]=0,0,IF(data[[#This Row],[PNP Fin]]&lt;data[[#This Row],[Début]],1,0)+data[[#This Row],[PNP Fin]])</f>
        <v>1.125</v>
      </c>
      <c r="P10" s="71">
        <f>IF(data[[#This Row],[Fin]]&lt;data[[#This Row],[Début]],1,0)+data[[#This Row],[Fin]]</f>
        <v>1.25</v>
      </c>
      <c r="Q10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0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0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0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0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0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1" spans="1:25" x14ac:dyDescent="0.35">
      <c r="A11" s="65">
        <v>43138</v>
      </c>
      <c r="B11" s="1" t="s">
        <v>58</v>
      </c>
      <c r="C11" s="74">
        <v>0.75</v>
      </c>
      <c r="D11" s="74">
        <v>0.25</v>
      </c>
      <c r="E11" s="67">
        <v>4.1666666666666664E-2</v>
      </c>
      <c r="F11" s="67">
        <v>8.3333333333333329E-2</v>
      </c>
      <c r="G11" s="67">
        <v>8.3333333333333329E-2</v>
      </c>
      <c r="H11" s="67">
        <v>0.125</v>
      </c>
      <c r="I11" s="68">
        <f>0.1*(data[[#This Row],[Heures de nuit]]+IF(data[[#This Row],[MajoDimJF]]="non",0,data[[#This Row],[heures jour dimanche]]+data[[#This Row],[heures jour fériés]]))-IF(data[[#This Row],[Service]]="R1",1,0)</f>
        <v>0.7</v>
      </c>
      <c r="J11" s="69">
        <f>(MOD(data[[#This Row],[Fin]]-data[[#This Row],[Début]],1)-MOD(data[[#This Row],[PNP Fin]]-data[[#This Row],[PNP Début]],1))*24+IF(data[[#This Row],[Service]]="R1",1,0)</f>
        <v>11</v>
      </c>
      <c r="K11" s="75">
        <f>IFERROR(IF(VLOOKUP(data[[#This Row],[Service]],Codes[],5,0)="oui",1,0),0)</f>
        <v>1</v>
      </c>
      <c r="L11" s="76">
        <f>IFERROR(VLOOKUP(data[[#This Row],[Service]],Codes[],4,0),"")</f>
        <v>0</v>
      </c>
      <c r="M11" s="76" t="str">
        <f>IFERROR(VLOOKUP(data[[#This Row],[Service]],Codes[],5,0),"")</f>
        <v>oui</v>
      </c>
      <c r="N11" s="71">
        <f>IF(data[[#This Row],[PNP Début]]=0,0,IF(data[[#This Row],[PNP Début]]&lt;data[[#This Row],[Début]],1,0)+data[[#This Row],[PNP Début]])</f>
        <v>1.0833333333333333</v>
      </c>
      <c r="O11" s="71">
        <f>IF(data[[#This Row],[PNP Fin]]=0,0,IF(data[[#This Row],[PNP Fin]]&lt;data[[#This Row],[Début]],1,0)+data[[#This Row],[PNP Fin]])</f>
        <v>1.125</v>
      </c>
      <c r="P11" s="71">
        <f>IF(data[[#This Row],[Fin]]&lt;data[[#This Row],[Début]],1,0)+data[[#This Row],[Fin]]</f>
        <v>1.25</v>
      </c>
      <c r="Q11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1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1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1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1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1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2" spans="1:25" x14ac:dyDescent="0.35">
      <c r="A12" s="65">
        <v>43167</v>
      </c>
      <c r="B12" s="1" t="s">
        <v>58</v>
      </c>
      <c r="C12" s="74">
        <v>0.75</v>
      </c>
      <c r="D12" s="74">
        <v>0.25</v>
      </c>
      <c r="E12" s="67">
        <v>4.1666666666666664E-2</v>
      </c>
      <c r="F12" s="67">
        <v>8.3333333333333329E-2</v>
      </c>
      <c r="G12" s="67">
        <v>8.3333333333333329E-2</v>
      </c>
      <c r="H12" s="67">
        <v>0.125</v>
      </c>
      <c r="I12" s="68">
        <f>0.1*(data[[#This Row],[Heures de nuit]]+IF(data[[#This Row],[MajoDimJF]]="non",0,data[[#This Row],[heures jour dimanche]]+data[[#This Row],[heures jour fériés]]))-IF(data[[#This Row],[Service]]="R1",1,0)</f>
        <v>0.7</v>
      </c>
      <c r="J12" s="69">
        <f>(MOD(data[[#This Row],[Fin]]-data[[#This Row],[Début]],1)-MOD(data[[#This Row],[PNP Fin]]-data[[#This Row],[PNP Début]],1))*24+IF(data[[#This Row],[Service]]="R1",1,0)</f>
        <v>11</v>
      </c>
      <c r="K12" s="75">
        <f>IFERROR(IF(VLOOKUP(data[[#This Row],[Service]],Codes[],5,0)="oui",1,0),0)</f>
        <v>1</v>
      </c>
      <c r="L12" s="76">
        <f>IFERROR(VLOOKUP(data[[#This Row],[Service]],Codes[],4,0),"")</f>
        <v>0</v>
      </c>
      <c r="M12" s="76" t="str">
        <f>IFERROR(VLOOKUP(data[[#This Row],[Service]],Codes[],5,0),"")</f>
        <v>oui</v>
      </c>
      <c r="N12" s="71">
        <f>IF(data[[#This Row],[PNP Début]]=0,0,IF(data[[#This Row],[PNP Début]]&lt;data[[#This Row],[Début]],1,0)+data[[#This Row],[PNP Début]])</f>
        <v>1.0833333333333333</v>
      </c>
      <c r="O12" s="71">
        <f>IF(data[[#This Row],[PNP Fin]]=0,0,IF(data[[#This Row],[PNP Fin]]&lt;data[[#This Row],[Début]],1,0)+data[[#This Row],[PNP Fin]])</f>
        <v>1.125</v>
      </c>
      <c r="P12" s="71">
        <f>IF(data[[#This Row],[Fin]]&lt;data[[#This Row],[Début]],1,0)+data[[#This Row],[Fin]]</f>
        <v>1.25</v>
      </c>
      <c r="Q12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2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2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2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2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2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3" spans="1:25" x14ac:dyDescent="0.35">
      <c r="A13" s="65">
        <v>43199</v>
      </c>
      <c r="B13" s="1" t="s">
        <v>58</v>
      </c>
      <c r="C13" s="74">
        <v>0.75</v>
      </c>
      <c r="D13" s="74">
        <v>0.25</v>
      </c>
      <c r="E13" s="67">
        <v>4.1666666666666664E-2</v>
      </c>
      <c r="F13" s="67">
        <v>8.3333333333333329E-2</v>
      </c>
      <c r="G13" s="67">
        <v>8.3333333333333329E-2</v>
      </c>
      <c r="H13" s="67">
        <v>0.125</v>
      </c>
      <c r="I13" s="68">
        <f>0.1*(data[[#This Row],[Heures de nuit]]+IF(data[[#This Row],[MajoDimJF]]="non",0,data[[#This Row],[heures jour dimanche]]+data[[#This Row],[heures jour fériés]]))-IF(data[[#This Row],[Service]]="R1",1,0)</f>
        <v>0.7</v>
      </c>
      <c r="J13" s="69">
        <f>(MOD(data[[#This Row],[Fin]]-data[[#This Row],[Début]],1)-MOD(data[[#This Row],[PNP Fin]]-data[[#This Row],[PNP Début]],1))*24+IF(data[[#This Row],[Service]]="R1",1,0)</f>
        <v>11</v>
      </c>
      <c r="K13" s="75">
        <f>IFERROR(IF(VLOOKUP(data[[#This Row],[Service]],Codes[],5,0)="oui",1,0),0)</f>
        <v>1</v>
      </c>
      <c r="L13" s="76">
        <f>IFERROR(VLOOKUP(data[[#This Row],[Service]],Codes[],4,0),"")</f>
        <v>0</v>
      </c>
      <c r="M13" s="76" t="str">
        <f>IFERROR(VLOOKUP(data[[#This Row],[Service]],Codes[],5,0),"")</f>
        <v>oui</v>
      </c>
      <c r="N13" s="71">
        <f>IF(data[[#This Row],[PNP Début]]=0,0,IF(data[[#This Row],[PNP Début]]&lt;data[[#This Row],[Début]],1,0)+data[[#This Row],[PNP Début]])</f>
        <v>1.0833333333333333</v>
      </c>
      <c r="O13" s="71">
        <f>IF(data[[#This Row],[PNP Fin]]=0,0,IF(data[[#This Row],[PNP Fin]]&lt;data[[#This Row],[Début]],1,0)+data[[#This Row],[PNP Fin]])</f>
        <v>1.125</v>
      </c>
      <c r="P13" s="71">
        <f>IF(data[[#This Row],[Fin]]&lt;data[[#This Row],[Début]],1,0)+data[[#This Row],[Fin]]</f>
        <v>1.25</v>
      </c>
      <c r="Q13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3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3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3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3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3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4" spans="1:25" x14ac:dyDescent="0.35">
      <c r="A14" s="65">
        <v>43141</v>
      </c>
      <c r="B14" s="1" t="s">
        <v>58</v>
      </c>
      <c r="C14" s="74">
        <v>0.75</v>
      </c>
      <c r="D14" s="74">
        <v>0.25</v>
      </c>
      <c r="E14" s="67">
        <v>4.1666666666666664E-2</v>
      </c>
      <c r="F14" s="67">
        <v>8.3333333333333329E-2</v>
      </c>
      <c r="G14" s="67">
        <v>8.3333333333333329E-2</v>
      </c>
      <c r="H14" s="67">
        <v>0.125</v>
      </c>
      <c r="I14" s="68">
        <f>0.1*(data[[#This Row],[Heures de nuit]]+IF(data[[#This Row],[MajoDimJF]]="non",0,data[[#This Row],[heures jour dimanche]]+data[[#This Row],[heures jour fériés]]))-IF(data[[#This Row],[Service]]="R1",1,0)</f>
        <v>0.7</v>
      </c>
      <c r="J14" s="69">
        <f>(MOD(data[[#This Row],[Fin]]-data[[#This Row],[Début]],1)-MOD(data[[#This Row],[PNP Fin]]-data[[#This Row],[PNP Début]],1))*24+IF(data[[#This Row],[Service]]="R1",1,0)</f>
        <v>11</v>
      </c>
      <c r="K14" s="75">
        <f>IFERROR(IF(VLOOKUP(data[[#This Row],[Service]],Codes[],5,0)="oui",1,0),0)</f>
        <v>1</v>
      </c>
      <c r="L14" s="76">
        <f>IFERROR(VLOOKUP(data[[#This Row],[Service]],Codes[],4,0),"")</f>
        <v>0</v>
      </c>
      <c r="M14" s="76" t="str">
        <f>IFERROR(VLOOKUP(data[[#This Row],[Service]],Codes[],5,0),"")</f>
        <v>oui</v>
      </c>
      <c r="N14" s="71">
        <f>IF(data[[#This Row],[PNP Début]]=0,0,IF(data[[#This Row],[PNP Début]]&lt;data[[#This Row],[Début]],1,0)+data[[#This Row],[PNP Début]])</f>
        <v>1.0833333333333333</v>
      </c>
      <c r="O14" s="71">
        <f>IF(data[[#This Row],[PNP Fin]]=0,0,IF(data[[#This Row],[PNP Fin]]&lt;data[[#This Row],[Début]],1,0)+data[[#This Row],[PNP Fin]])</f>
        <v>1.125</v>
      </c>
      <c r="P14" s="71">
        <f>IF(data[[#This Row],[Fin]]&lt;data[[#This Row],[Début]],1,0)+data[[#This Row],[Fin]]</f>
        <v>1.25</v>
      </c>
      <c r="Q14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4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4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4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4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4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5" spans="1:25" x14ac:dyDescent="0.35">
      <c r="A15" s="65">
        <v>43142</v>
      </c>
      <c r="B15" s="1" t="s">
        <v>58</v>
      </c>
      <c r="C15" s="74">
        <v>0.75</v>
      </c>
      <c r="D15" s="74">
        <v>0.25</v>
      </c>
      <c r="E15" s="67">
        <v>4.1666666666666664E-2</v>
      </c>
      <c r="F15" s="67">
        <v>8.3333333333333329E-2</v>
      </c>
      <c r="G15" s="67">
        <v>8.3333333333333329E-2</v>
      </c>
      <c r="H15" s="67">
        <v>0.125</v>
      </c>
      <c r="I15" s="68">
        <f>0.1*(data[[#This Row],[Heures de nuit]]+IF(data[[#This Row],[MajoDimJF]]="non",0,data[[#This Row],[heures jour dimanche]]+data[[#This Row],[heures jour fériés]]))-IF(data[[#This Row],[Service]]="R1",1,0)</f>
        <v>1.2000000000000002</v>
      </c>
      <c r="J15" s="69">
        <f>(MOD(data[[#This Row],[Fin]]-data[[#This Row],[Début]],1)-MOD(data[[#This Row],[PNP Fin]]-data[[#This Row],[PNP Début]],1))*24+IF(data[[#This Row],[Service]]="R1",1,0)</f>
        <v>11</v>
      </c>
      <c r="K15" s="75">
        <f>IFERROR(IF(VLOOKUP(data[[#This Row],[Service]],Codes[],5,0)="oui",1,0),0)</f>
        <v>1</v>
      </c>
      <c r="L15" s="76">
        <f>IFERROR(VLOOKUP(data[[#This Row],[Service]],Codes[],4,0),"")</f>
        <v>0</v>
      </c>
      <c r="M15" s="76" t="str">
        <f>IFERROR(VLOOKUP(data[[#This Row],[Service]],Codes[],5,0),"")</f>
        <v>oui</v>
      </c>
      <c r="N15" s="71">
        <f>IF(data[[#This Row],[PNP Début]]=0,0,IF(data[[#This Row],[PNP Début]]&lt;data[[#This Row],[Début]],1,0)+data[[#This Row],[PNP Début]])</f>
        <v>1.0833333333333333</v>
      </c>
      <c r="O15" s="71">
        <f>IF(data[[#This Row],[PNP Fin]]=0,0,IF(data[[#This Row],[PNP Fin]]&lt;data[[#This Row],[Début]],1,0)+data[[#This Row],[PNP Fin]])</f>
        <v>1.125</v>
      </c>
      <c r="P15" s="71">
        <f>IF(data[[#This Row],[Fin]]&lt;data[[#This Row],[Début]],1,0)+data[[#This Row],[Fin]]</f>
        <v>1.25</v>
      </c>
      <c r="Q15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5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5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5.0000000000000009</v>
      </c>
      <c r="T15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5.0000000000000009</v>
      </c>
      <c r="U15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5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6" spans="1:25" x14ac:dyDescent="0.35">
      <c r="A16" s="65">
        <v>43143</v>
      </c>
      <c r="B16" s="1" t="s">
        <v>107</v>
      </c>
      <c r="C16" s="74">
        <v>0.375</v>
      </c>
      <c r="D16" s="74">
        <v>0.70763888888888893</v>
      </c>
      <c r="E16" s="67">
        <v>4.1666666666666664E-2</v>
      </c>
      <c r="F16" s="67">
        <v>8.3333333333333329E-2</v>
      </c>
      <c r="G16" s="67">
        <v>8.3333333333333329E-2</v>
      </c>
      <c r="H16" s="67">
        <v>0.125</v>
      </c>
      <c r="I16" s="68">
        <f>0.1*(data[[#This Row],[Heures de nuit]]+IF(data[[#This Row],[MajoDimJF]]="non",0,data[[#This Row],[heures jour dimanche]]+data[[#This Row],[heures jour fériés]]))-IF(data[[#This Row],[Service]]="R1",1,0)</f>
        <v>0</v>
      </c>
      <c r="J16" s="69">
        <f>(MOD(data[[#This Row],[Fin]]-data[[#This Row],[Début]],1)-MOD(data[[#This Row],[PNP Fin]]-data[[#This Row],[PNP Début]],1))*24+IF(data[[#This Row],[Service]]="R1",1,0)</f>
        <v>6.9833333333333343</v>
      </c>
      <c r="K16" s="75">
        <f>IFERROR(IF(VLOOKUP(data[[#This Row],[Service]],Codes[],5,0)="oui",1,0),0)</f>
        <v>0</v>
      </c>
      <c r="L16" s="76" t="str">
        <f>IFERROR(VLOOKUP(data[[#This Row],[Service]],Codes[],4,0),"")</f>
        <v>non</v>
      </c>
      <c r="M16" s="76" t="str">
        <f>IFERROR(VLOOKUP(data[[#This Row],[Service]],Codes[],5,0),"")</f>
        <v>non</v>
      </c>
      <c r="N16" s="71">
        <f>IF(data[[#This Row],[PNP Début]]=0,0,IF(data[[#This Row],[PNP Début]]&lt;data[[#This Row],[Début]],1,0)+data[[#This Row],[PNP Début]])</f>
        <v>1.0833333333333333</v>
      </c>
      <c r="O16" s="71">
        <f>IF(data[[#This Row],[PNP Fin]]=0,0,IF(data[[#This Row],[PNP Fin]]&lt;data[[#This Row],[Début]],1,0)+data[[#This Row],[PNP Fin]])</f>
        <v>1.125</v>
      </c>
      <c r="P16" s="71">
        <f>IF(data[[#This Row],[Fin]]&lt;data[[#This Row],[Début]],1,0)+data[[#This Row],[Fin]]</f>
        <v>0.70763888888888893</v>
      </c>
      <c r="Q16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0</v>
      </c>
      <c r="R16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-1.0000000000000018</v>
      </c>
      <c r="S16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6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6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6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7" spans="1:22" x14ac:dyDescent="0.35">
      <c r="A17" s="65">
        <v>43144</v>
      </c>
      <c r="B17" s="1" t="s">
        <v>101</v>
      </c>
      <c r="C17" s="74">
        <v>0.75</v>
      </c>
      <c r="D17" s="74">
        <v>0.25</v>
      </c>
      <c r="E17" s="67">
        <v>4.1666666666666664E-2</v>
      </c>
      <c r="F17" s="67">
        <v>8.3333333333333329E-2</v>
      </c>
      <c r="G17" s="67">
        <v>8.3333333333333329E-2</v>
      </c>
      <c r="H17" s="67">
        <v>0.125</v>
      </c>
      <c r="I17" s="68">
        <f>0.1*(data[[#This Row],[Heures de nuit]]+IF(data[[#This Row],[MajoDimJF]]="non",0,data[[#This Row],[heures jour dimanche]]+data[[#This Row],[heures jour fériés]]))-IF(data[[#This Row],[Service]]="R1",1,0)</f>
        <v>0.7</v>
      </c>
      <c r="J17" s="69">
        <f>(MOD(data[[#This Row],[Fin]]-data[[#This Row],[Début]],1)-MOD(data[[#This Row],[PNP Fin]]-data[[#This Row],[PNP Début]],1))*24+IF(data[[#This Row],[Service]]="R1",1,0)</f>
        <v>11</v>
      </c>
      <c r="K17" s="75">
        <f>IFERROR(IF(VLOOKUP(data[[#This Row],[Service]],Codes[],5,0)="oui",1,0),0)</f>
        <v>0</v>
      </c>
      <c r="L17" s="76" t="str">
        <f>IFERROR(VLOOKUP(data[[#This Row],[Service]],Codes[],4,0),"")</f>
        <v>non</v>
      </c>
      <c r="M17" s="76" t="str">
        <f>IFERROR(VLOOKUP(data[[#This Row],[Service]],Codes[],5,0),"")</f>
        <v>non</v>
      </c>
      <c r="N17" s="71">
        <f>IF(data[[#This Row],[PNP Début]]=0,0,IF(data[[#This Row],[PNP Début]]&lt;data[[#This Row],[Début]],1,0)+data[[#This Row],[PNP Début]])</f>
        <v>1.0833333333333333</v>
      </c>
      <c r="O17" s="71">
        <f>IF(data[[#This Row],[PNP Fin]]=0,0,IF(data[[#This Row],[PNP Fin]]&lt;data[[#This Row],[Début]],1,0)+data[[#This Row],[PNP Fin]])</f>
        <v>1.125</v>
      </c>
      <c r="P17" s="71">
        <f>IF(data[[#This Row],[Fin]]&lt;data[[#This Row],[Début]],1,0)+data[[#This Row],[Fin]]</f>
        <v>1.25</v>
      </c>
      <c r="Q17" s="72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6.9999999999999991</v>
      </c>
      <c r="R17" s="72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5.9999999999999973</v>
      </c>
      <c r="S17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7" s="72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7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7" s="73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  <row r="18" spans="1:22" x14ac:dyDescent="0.35">
      <c r="A18" s="77">
        <v>43257</v>
      </c>
      <c r="B18" s="78" t="s">
        <v>107</v>
      </c>
      <c r="C18" s="79">
        <v>0.375</v>
      </c>
      <c r="D18" s="79">
        <v>0.70763888888888893</v>
      </c>
      <c r="E18" s="80"/>
      <c r="F18" s="80"/>
      <c r="G18" s="80"/>
      <c r="H18" s="80"/>
      <c r="I18" s="81">
        <f>0.1*(data[[#This Row],[Heures de nuit]]+IF(data[[#This Row],[MajoDimJF]]="non",0,data[[#This Row],[heures jour dimanche]]+data[[#This Row],[heures jour fériés]]))-IF(data[[#This Row],[Service]]="R1",1,0)</f>
        <v>0</v>
      </c>
      <c r="J18" s="82">
        <f>(MOD(data[[#This Row],[Fin]]-data[[#This Row],[Début]],1)-MOD(data[[#This Row],[PNP Fin]]-data[[#This Row],[PNP Début]],1))*24+IF(data[[#This Row],[Service]]="R1",1,0)</f>
        <v>7.9833333333333343</v>
      </c>
      <c r="K18" s="83">
        <f>IFERROR(IF(VLOOKUP(data[[#This Row],[Service]],Codes[],5,0)="oui",1,0),0)</f>
        <v>0</v>
      </c>
      <c r="L18" s="84" t="str">
        <f>IFERROR(VLOOKUP(data[[#This Row],[Service]],Codes[],4,0),"")</f>
        <v>non</v>
      </c>
      <c r="M18" s="84" t="str">
        <f>IFERROR(VLOOKUP(data[[#This Row],[Service]],Codes[],5,0),"")</f>
        <v>non</v>
      </c>
      <c r="N18" s="85">
        <f>IF(data[[#This Row],[PNP Début]]=0,0,IF(data[[#This Row],[PNP Début]]&lt;data[[#This Row],[Début]],1,0)+data[[#This Row],[PNP Début]])</f>
        <v>0</v>
      </c>
      <c r="O18" s="86">
        <f>IF(data[[#This Row],[PNP Fin]]=0,0,IF(data[[#This Row],[PNP Fin]]&lt;data[[#This Row],[Début]],1,0)+data[[#This Row],[PNP Fin]])</f>
        <v>0</v>
      </c>
      <c r="P18" s="86">
        <f>IF(data[[#This Row],[Fin]]&lt;data[[#This Row],[Début]],1,0)+data[[#This Row],[Fin]]</f>
        <v>0.70763888888888893</v>
      </c>
      <c r="Q18" s="87">
        <f>IF(data[[#This Row],[Fin]]&lt;data[[#This Row],[Début]],MAX(0,MIN(data[[#This Row],[Fin corrigée si nuit]],fin_nuit)-MAX(data[[#This Row],[Début]],deb_nuit))*24,(MAX(deb_nuit,data[[#This Row],[Fin]])-MAX(deb_nuit,data[[#This Row],[Début]])+MAX(MIN(fin_nuit-1,data[[#This Row],[Fin]])-MIN(fin_nuit-1,data[[#This Row],[Début]]),0))*24)</f>
        <v>0</v>
      </c>
      <c r="R18" s="88">
        <f>(MAX(0,MIN(data[[#This Row],[Fin corrigée si nuit]],fin_nuit)-MAX(data[[#This Row],[Début]],deb_nuit))-IF(data[[#This Row],[PNP Début]]=0,0,MIN(data[[#This Row],[PNP Fin corrigée]],fin_nuit)-MAX(data[[#This Row],[PNP Début corrigé]],deb_nuit)))*24</f>
        <v>0</v>
      </c>
      <c r="S18" s="88">
        <f>(IF(WEEKDAY(data[[#This Row],[Date]],2)=7,MAX(0,MIN(fin_dimJF,data[[#This Row],[Fin corrigée si nuit]])-MAX(deb_dimJF,data[[#This Row],[Début]])),0)+IF(WEEKDAY(data[[#This Row],[Date]],2)=6,MAX(0,data[[#This Row],[Fin corrigée si nuit]]-(1+deb_dimJF)),0))*24</f>
        <v>0</v>
      </c>
      <c r="T18" s="88">
        <f>(IF(WEEKDAY(data[[#This Row],[Date]],2)=7,MAX(0,MIN(fin_dimJF,data[[#This Row],[Fin corrigée si nuit]])-MAX(deb_dimJF,data[[#This Row],[Début]])),0)+IF(WEEKDAY(data[[#This Row],[Date]],2)=6,MAX(0,data[[#This Row],[Fin corrigée si nuit]]-(1+deb_dimJF)),0))*24-
(IF(WEEKDAY(data[[#This Row],[Date]],2)=7,MAX(0,MIN(fin_dimJF,data[[#This Row],[PNP Fin corrigée]])-MAX(deb_dimJF,data[[#This Row],[PNP Début corrigé]])),0)+IF(WEEKDAY(data[[#This Row],[Date]],2)=6,MAX(0,data[[#This Row],[PNP Fin corrigée]]-(1+deb_dimJF)),0))*24</f>
        <v>0</v>
      </c>
      <c r="U18" s="88">
        <f>(IF(COUNTIF(JF,data[[#This Row],[Date]]),MAX(0,MIN(fin_dimJF,data[[#This Row],[Fin corrigée si nuit]])-MAX(deb_dimJF,data[[#This Row],[Début]])),0)+IF(COUNTIF(JF,data[[#This Row],[Date]]+1),MAX(0,data[[#This Row],[Fin corrigée si nuit]]-(1+deb_dimJF)),0))*24</f>
        <v>0</v>
      </c>
      <c r="V18" s="88">
        <f>(IF(COUNTIF(JF,data[[#This Row],[Date]]),MAX(0,MIN(fin_dimJF,data[[#This Row],[Fin corrigée si nuit]])-MAX(deb_dimJF,data[[#This Row],[Début]])),0)+IF(COUNTIF(JF,data[[#This Row],[Date]]+1),MAX(0,data[[#This Row],[Fin corrigée si nuit]]-(1+deb_dimJF)),0))*24-
(IF(COUNTIF(JF,data[[#This Row],[Date]]),MAX(0,MIN(fin_dimJF,data[[#This Row],[PNP Fin corrigée]])-MAX(deb_dimJF,data[[#This Row],[PNP Début corrigé]])),0)+IF(COUNTIF(JF,data[[#This Row],[Date]]+1),MAX(0,data[[#This Row],[PNP Fin corrigée]]-(1+deb_dimJF)),0))*24</f>
        <v>0</v>
      </c>
    </row>
  </sheetData>
  <sheetProtection selectLockedCells="1"/>
  <mergeCells count="10">
    <mergeCell ref="J1:J3"/>
    <mergeCell ref="C2:C3"/>
    <mergeCell ref="D2:D3"/>
    <mergeCell ref="E2:F2"/>
    <mergeCell ref="G2:H2"/>
    <mergeCell ref="A1:A3"/>
    <mergeCell ref="B1:B3"/>
    <mergeCell ref="C1:D1"/>
    <mergeCell ref="E1:H1"/>
    <mergeCell ref="I1:I3"/>
  </mergeCells>
  <conditionalFormatting sqref="C5:D18">
    <cfRule type="expression" dxfId="36" priority="1">
      <formula>$M5="non"</formula>
    </cfRule>
  </conditionalFormatting>
  <dataValidations count="2">
    <dataValidation allowBlank="1" showInputMessage="1" showErrorMessage="1" error="Tapez les heures sous le format_x000a_00:00" sqref="N4:Q18"/>
    <dataValidation type="time" allowBlank="1" showInputMessage="1" showErrorMessage="1" error="Tapez les heures sous le format_x000a_00:00" sqref="C5:H18">
      <formula1>0</formula1>
      <formula2>0.999305555555556</formula2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'Parametres '!$A$20:$A$76</xm:f>
          </x14:formula1>
          <xm:sqref>B5:B18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X27"/>
  <sheetViews>
    <sheetView workbookViewId="0">
      <selection activeCell="J5" sqref="J5"/>
    </sheetView>
  </sheetViews>
  <sheetFormatPr baseColWidth="10" defaultRowHeight="14.5" x14ac:dyDescent="0.35"/>
  <cols>
    <col min="1" max="1" width="22" bestFit="1" customWidth="1"/>
    <col min="2" max="2" width="13.08984375" customWidth="1"/>
    <col min="3" max="4" width="14" customWidth="1"/>
    <col min="10" max="10" width="11.08984375" bestFit="1" customWidth="1"/>
    <col min="12" max="13" width="10.90625" hidden="1" customWidth="1"/>
  </cols>
  <sheetData>
    <row r="1" spans="1:24" x14ac:dyDescent="0.35">
      <c r="A1" s="138"/>
      <c r="B1" s="138"/>
      <c r="C1" s="2"/>
      <c r="D1" s="2"/>
      <c r="E1" s="3"/>
      <c r="F1" s="3"/>
      <c r="G1" s="3"/>
      <c r="H1" s="141" t="s">
        <v>88</v>
      </c>
      <c r="I1" s="141"/>
      <c r="J1" s="141"/>
      <c r="K1" s="43"/>
      <c r="M1" s="2"/>
      <c r="N1" s="2"/>
      <c r="O1" s="2"/>
      <c r="P1" s="2"/>
      <c r="Q1" s="4"/>
      <c r="R1" s="4"/>
      <c r="S1" s="4"/>
      <c r="T1" s="4"/>
      <c r="U1" s="4"/>
    </row>
    <row r="2" spans="1:24" x14ac:dyDescent="0.35">
      <c r="A2" s="138"/>
      <c r="B2" s="138"/>
      <c r="C2" s="2"/>
      <c r="D2" s="2"/>
      <c r="E2" s="2"/>
      <c r="F2" s="2"/>
      <c r="G2" s="2"/>
      <c r="H2" s="2"/>
      <c r="I2" s="2"/>
      <c r="J2" s="5"/>
      <c r="K2" s="44"/>
      <c r="L2" s="5"/>
      <c r="M2" s="2"/>
      <c r="N2" s="2"/>
      <c r="O2" s="2"/>
      <c r="P2" s="2"/>
      <c r="Q2" s="4"/>
      <c r="R2" s="4"/>
      <c r="S2" s="4"/>
      <c r="T2" s="4"/>
      <c r="U2" s="4"/>
    </row>
    <row r="3" spans="1:24" ht="16" customHeight="1" x14ac:dyDescent="0.35">
      <c r="A3" s="139" t="s">
        <v>131</v>
      </c>
      <c r="B3" s="139"/>
      <c r="C3" s="139"/>
      <c r="D3" s="139"/>
      <c r="E3" s="139"/>
      <c r="F3" s="139"/>
      <c r="G3" s="139"/>
      <c r="H3" s="139"/>
      <c r="I3" s="139"/>
      <c r="J3" s="139"/>
      <c r="K3" s="45"/>
      <c r="L3" s="30"/>
      <c r="M3" s="2"/>
      <c r="N3" s="2"/>
      <c r="O3" s="2"/>
      <c r="P3" s="2"/>
      <c r="Q3" s="4"/>
      <c r="R3" s="4"/>
      <c r="S3" s="4"/>
      <c r="T3" s="4"/>
      <c r="U3" s="4"/>
      <c r="W3" s="33"/>
      <c r="X3" s="33"/>
    </row>
    <row r="4" spans="1:24" ht="16" customHeight="1" thickBot="1" x14ac:dyDescent="0.4">
      <c r="A4" s="140"/>
      <c r="B4" s="140"/>
      <c r="C4" s="140"/>
      <c r="D4" s="140"/>
      <c r="E4" s="140"/>
      <c r="F4" s="140"/>
      <c r="G4" s="140"/>
      <c r="H4" s="140"/>
      <c r="I4" s="140"/>
      <c r="J4" s="140"/>
      <c r="K4" s="46"/>
      <c r="L4" s="31"/>
      <c r="M4" s="4"/>
      <c r="N4" s="4"/>
      <c r="O4" s="4"/>
      <c r="P4" s="4"/>
      <c r="Q4" s="4"/>
      <c r="R4" s="4"/>
      <c r="S4" s="4"/>
      <c r="T4" s="4"/>
      <c r="U4" s="4"/>
      <c r="W4" s="33"/>
      <c r="X4" s="33"/>
    </row>
    <row r="5" spans="1:24" ht="15.5" x14ac:dyDescent="0.35">
      <c r="A5" s="19" t="s">
        <v>42</v>
      </c>
      <c r="B5" s="27"/>
      <c r="C5" s="6" t="s">
        <v>32</v>
      </c>
      <c r="D5" s="27"/>
      <c r="E5" s="51"/>
      <c r="F5" s="51"/>
      <c r="G5" s="52" t="s">
        <v>132</v>
      </c>
      <c r="H5" s="117">
        <f>YEAR(lemois)</f>
        <v>2018</v>
      </c>
      <c r="I5" s="52" t="s">
        <v>133</v>
      </c>
      <c r="J5" s="20">
        <v>43221</v>
      </c>
      <c r="K5" s="47"/>
      <c r="N5" s="4"/>
      <c r="O5" s="4"/>
      <c r="P5" s="4"/>
      <c r="Q5" s="4"/>
      <c r="R5" s="4"/>
      <c r="S5" s="4"/>
      <c r="T5" s="4"/>
      <c r="U5" s="4"/>
      <c r="W5" s="33"/>
      <c r="X5" s="33"/>
    </row>
    <row r="6" spans="1:24" ht="15" thickBot="1" x14ac:dyDescent="0.4">
      <c r="A6" s="13" t="s">
        <v>21</v>
      </c>
      <c r="B6" s="28"/>
      <c r="C6" s="7" t="s">
        <v>22</v>
      </c>
      <c r="D6" s="118"/>
      <c r="E6" s="28"/>
      <c r="F6" s="7"/>
      <c r="G6" s="7"/>
      <c r="H6" s="7"/>
      <c r="I6" s="7"/>
      <c r="J6" s="8"/>
      <c r="K6" s="48"/>
      <c r="M6" s="4"/>
      <c r="N6" s="4"/>
      <c r="O6" s="4"/>
      <c r="P6" s="4"/>
      <c r="Q6" s="4"/>
      <c r="R6" s="4"/>
      <c r="S6" s="4"/>
      <c r="T6" s="4"/>
      <c r="U6" s="4"/>
      <c r="W6" s="33"/>
      <c r="X6" s="33"/>
    </row>
    <row r="7" spans="1:24" x14ac:dyDescent="0.35">
      <c r="A7" s="4"/>
      <c r="B7" s="4"/>
      <c r="C7" s="4"/>
      <c r="D7" s="4"/>
      <c r="E7" s="4"/>
      <c r="F7" s="4"/>
      <c r="G7" s="4"/>
      <c r="H7" s="4"/>
      <c r="I7" s="4"/>
      <c r="J7" s="5"/>
      <c r="K7" s="44"/>
      <c r="L7" s="5"/>
      <c r="M7" s="4"/>
      <c r="N7" s="4"/>
      <c r="O7" s="4"/>
      <c r="P7" s="4"/>
      <c r="Q7" s="4"/>
      <c r="R7" s="4"/>
      <c r="S7" s="4"/>
      <c r="T7" s="4"/>
      <c r="U7" s="4"/>
      <c r="W7" s="33"/>
      <c r="X7" s="33"/>
    </row>
    <row r="8" spans="1:24" x14ac:dyDescent="0.35">
      <c r="A8" s="135" t="s">
        <v>27</v>
      </c>
      <c r="B8" s="135"/>
      <c r="C8" s="135"/>
      <c r="D8" s="135"/>
      <c r="E8" s="4"/>
      <c r="F8" s="4"/>
      <c r="G8" s="135" t="s">
        <v>28</v>
      </c>
      <c r="H8" s="135"/>
      <c r="I8" s="135"/>
      <c r="J8" s="135"/>
      <c r="K8" s="48"/>
      <c r="L8" s="32"/>
      <c r="M8" s="4"/>
      <c r="N8" s="4"/>
      <c r="O8" s="4"/>
      <c r="P8" s="4"/>
      <c r="Q8" s="4"/>
      <c r="R8" s="4"/>
      <c r="S8" s="4"/>
      <c r="T8" s="4"/>
      <c r="U8" s="4"/>
    </row>
    <row r="9" spans="1:24" x14ac:dyDescent="0.35">
      <c r="A9" s="136"/>
      <c r="B9" s="136"/>
      <c r="C9" s="136"/>
      <c r="D9" s="136"/>
      <c r="E9" s="12"/>
      <c r="F9" s="4"/>
      <c r="G9" s="137"/>
      <c r="H9" s="137"/>
      <c r="I9" s="137"/>
      <c r="J9" s="137"/>
      <c r="K9" s="50"/>
      <c r="L9" s="29"/>
      <c r="M9" s="4"/>
      <c r="N9" s="4"/>
      <c r="O9" s="4"/>
      <c r="P9" s="4"/>
      <c r="Q9" s="4"/>
      <c r="R9" s="4"/>
      <c r="S9" s="4"/>
      <c r="T9" s="4"/>
      <c r="U9" s="4"/>
    </row>
    <row r="10" spans="1:24" x14ac:dyDescent="0.35">
      <c r="A10" s="136"/>
      <c r="B10" s="136"/>
      <c r="C10" s="136"/>
      <c r="D10" s="136"/>
      <c r="E10" s="4"/>
      <c r="F10" s="4"/>
      <c r="G10" s="137"/>
      <c r="H10" s="137"/>
      <c r="I10" s="137"/>
      <c r="J10" s="137"/>
      <c r="K10" s="50"/>
      <c r="L10" s="29"/>
      <c r="M10" s="4"/>
      <c r="N10" s="4"/>
      <c r="O10" s="4"/>
      <c r="P10" s="4"/>
      <c r="Q10" s="4"/>
      <c r="R10" s="4"/>
      <c r="S10" s="4"/>
      <c r="T10" s="4"/>
      <c r="U10" s="4"/>
    </row>
    <row r="11" spans="1:24" x14ac:dyDescent="0.35">
      <c r="A11" s="136"/>
      <c r="B11" s="136"/>
      <c r="C11" s="136"/>
      <c r="D11" s="136"/>
      <c r="E11" s="12"/>
      <c r="F11" s="4"/>
      <c r="G11" s="137"/>
      <c r="H11" s="137"/>
      <c r="I11" s="137"/>
      <c r="J11" s="137"/>
      <c r="K11" s="50"/>
      <c r="L11" s="29"/>
      <c r="M11" s="4"/>
      <c r="N11" s="4"/>
      <c r="O11" s="4"/>
      <c r="P11" s="4"/>
      <c r="Q11" s="4"/>
      <c r="R11" s="4"/>
      <c r="S11" s="4"/>
      <c r="T11" s="4"/>
      <c r="U11" s="4"/>
    </row>
    <row r="13" spans="1:24" x14ac:dyDescent="0.35">
      <c r="A13" s="119" t="s">
        <v>0</v>
      </c>
      <c r="B13" s="119" t="s">
        <v>1</v>
      </c>
      <c r="C13" s="122" t="s">
        <v>2</v>
      </c>
      <c r="D13" s="123"/>
      <c r="E13" s="124" t="s">
        <v>23</v>
      </c>
      <c r="F13" s="125"/>
      <c r="G13" s="125"/>
      <c r="H13" s="126"/>
      <c r="I13" s="127" t="s">
        <v>20</v>
      </c>
      <c r="J13" s="130" t="s">
        <v>45</v>
      </c>
      <c r="L13" s="113" t="s">
        <v>0</v>
      </c>
      <c r="M13" s="113" t="s">
        <v>0</v>
      </c>
    </row>
    <row r="14" spans="1:24" x14ac:dyDescent="0.35">
      <c r="A14" s="120"/>
      <c r="B14" s="120"/>
      <c r="C14" s="133" t="s">
        <v>3</v>
      </c>
      <c r="D14" s="133" t="s">
        <v>4</v>
      </c>
      <c r="E14" s="124" t="s">
        <v>24</v>
      </c>
      <c r="F14" s="126"/>
      <c r="G14" s="124" t="s">
        <v>25</v>
      </c>
      <c r="H14" s="126"/>
      <c r="I14" s="128"/>
      <c r="J14" s="131"/>
      <c r="L14" s="114" t="str">
        <f>"&gt;="&amp;DATE(YEAR(J5),MONTH(J5),1)</f>
        <v>&gt;=43221</v>
      </c>
      <c r="M14" s="114" t="str">
        <f>"&lt;="&amp;DATE(YEAR(J5),MONTH(J5)+1,0)</f>
        <v>&lt;=43251</v>
      </c>
    </row>
    <row r="15" spans="1:24" x14ac:dyDescent="0.35">
      <c r="A15" s="121"/>
      <c r="B15" s="121"/>
      <c r="C15" s="134"/>
      <c r="D15" s="134"/>
      <c r="E15" s="42" t="s">
        <v>26</v>
      </c>
      <c r="F15" s="42" t="s">
        <v>4</v>
      </c>
      <c r="G15" s="42" t="s">
        <v>26</v>
      </c>
      <c r="H15" s="42" t="s">
        <v>4</v>
      </c>
      <c r="I15" s="129"/>
      <c r="J15" s="132"/>
    </row>
    <row r="16" spans="1:24" hidden="1" x14ac:dyDescent="0.35">
      <c r="A16" s="9" t="s">
        <v>0</v>
      </c>
      <c r="B16" s="10" t="s">
        <v>1</v>
      </c>
      <c r="C16" s="10" t="s">
        <v>26</v>
      </c>
      <c r="D16" s="10" t="s">
        <v>4</v>
      </c>
      <c r="E16" s="10" t="s">
        <v>8</v>
      </c>
      <c r="F16" s="10" t="s">
        <v>9</v>
      </c>
      <c r="G16" s="10" t="s">
        <v>10</v>
      </c>
      <c r="H16" s="10" t="s">
        <v>11</v>
      </c>
      <c r="I16" s="10" t="s">
        <v>20</v>
      </c>
      <c r="J16" s="10" t="s">
        <v>135</v>
      </c>
    </row>
    <row r="17" spans="1:10" x14ac:dyDescent="0.35">
      <c r="A17" s="115"/>
      <c r="B17" s="101"/>
      <c r="C17" s="105"/>
      <c r="D17" s="105"/>
      <c r="E17" s="103"/>
      <c r="F17" s="103"/>
      <c r="G17" s="103"/>
      <c r="H17" s="103"/>
      <c r="I17" s="104"/>
      <c r="J17" s="116"/>
    </row>
    <row r="18" spans="1:10" x14ac:dyDescent="0.35">
      <c r="A18" s="115"/>
      <c r="B18" s="101"/>
      <c r="C18" s="102"/>
      <c r="D18" s="102"/>
      <c r="E18" s="103"/>
      <c r="F18" s="103"/>
      <c r="G18" s="103"/>
      <c r="H18" s="103"/>
      <c r="I18" s="104"/>
      <c r="J18" s="116"/>
    </row>
    <row r="19" spans="1:10" x14ac:dyDescent="0.35">
      <c r="A19" s="115"/>
      <c r="B19" s="101"/>
      <c r="C19" s="105"/>
      <c r="D19" s="105"/>
      <c r="E19" s="103"/>
      <c r="F19" s="103"/>
      <c r="G19" s="103"/>
      <c r="H19" s="103"/>
      <c r="I19" s="104"/>
      <c r="J19" s="116"/>
    </row>
    <row r="20" spans="1:10" x14ac:dyDescent="0.35">
      <c r="A20" s="115"/>
      <c r="B20" s="101"/>
      <c r="C20" s="105"/>
      <c r="D20" s="105"/>
      <c r="E20" s="103"/>
      <c r="F20" s="103"/>
      <c r="G20" s="103"/>
      <c r="H20" s="103"/>
      <c r="I20" s="104"/>
      <c r="J20" s="116"/>
    </row>
    <row r="21" spans="1:10" x14ac:dyDescent="0.35">
      <c r="A21" s="115"/>
      <c r="B21" s="101"/>
      <c r="C21" s="105"/>
      <c r="D21" s="105"/>
      <c r="E21" s="103"/>
      <c r="F21" s="103"/>
      <c r="G21" s="103"/>
      <c r="H21" s="103"/>
      <c r="I21" s="104"/>
      <c r="J21" s="116"/>
    </row>
    <row r="22" spans="1:10" x14ac:dyDescent="0.35">
      <c r="A22" s="115"/>
      <c r="B22" s="101"/>
      <c r="C22" s="105"/>
      <c r="D22" s="105"/>
      <c r="E22" s="103"/>
      <c r="F22" s="103"/>
      <c r="G22" s="103"/>
      <c r="H22" s="103"/>
      <c r="I22" s="104"/>
      <c r="J22" s="116"/>
    </row>
    <row r="23" spans="1:10" x14ac:dyDescent="0.35">
      <c r="A23" s="115"/>
      <c r="B23" s="101"/>
      <c r="C23" s="105"/>
      <c r="D23" s="105"/>
      <c r="E23" s="103"/>
      <c r="F23" s="103"/>
      <c r="G23" s="103"/>
      <c r="H23" s="103"/>
      <c r="I23" s="104"/>
      <c r="J23" s="116"/>
    </row>
    <row r="24" spans="1:10" x14ac:dyDescent="0.35">
      <c r="A24" s="115"/>
      <c r="B24" s="101"/>
      <c r="C24" s="105"/>
      <c r="D24" s="105"/>
      <c r="E24" s="103"/>
      <c r="F24" s="103"/>
      <c r="G24" s="103"/>
      <c r="H24" s="103"/>
      <c r="I24" s="104"/>
      <c r="J24" s="116"/>
    </row>
    <row r="25" spans="1:10" x14ac:dyDescent="0.35">
      <c r="A25" s="115"/>
      <c r="B25" s="101"/>
      <c r="C25" s="105"/>
      <c r="D25" s="105"/>
      <c r="E25" s="103"/>
      <c r="F25" s="103"/>
      <c r="G25" s="103"/>
      <c r="H25" s="103"/>
      <c r="I25" s="104"/>
      <c r="J25" s="116"/>
    </row>
    <row r="26" spans="1:10" x14ac:dyDescent="0.35">
      <c r="A26" s="115"/>
      <c r="B26" s="101"/>
      <c r="C26" s="105"/>
      <c r="D26" s="105"/>
      <c r="E26" s="103"/>
      <c r="F26" s="103"/>
      <c r="G26" s="103"/>
      <c r="H26" s="103"/>
      <c r="I26" s="104"/>
      <c r="J26" s="116"/>
    </row>
    <row r="27" spans="1:10" x14ac:dyDescent="0.35">
      <c r="A27" s="115"/>
      <c r="B27" s="101"/>
      <c r="C27" s="105"/>
      <c r="D27" s="105"/>
      <c r="E27" s="103"/>
      <c r="F27" s="103"/>
      <c r="G27" s="103"/>
      <c r="H27" s="103"/>
      <c r="I27" s="104"/>
      <c r="J27" s="116"/>
    </row>
  </sheetData>
  <mergeCells count="17">
    <mergeCell ref="A8:D8"/>
    <mergeCell ref="G8:J8"/>
    <mergeCell ref="A9:D11"/>
    <mergeCell ref="G9:J11"/>
    <mergeCell ref="A1:B2"/>
    <mergeCell ref="A3:J4"/>
    <mergeCell ref="H1:J1"/>
    <mergeCell ref="A13:A15"/>
    <mergeCell ref="B13:B15"/>
    <mergeCell ref="C13:D13"/>
    <mergeCell ref="E13:H13"/>
    <mergeCell ref="I13:I15"/>
    <mergeCell ref="J13:J15"/>
    <mergeCell ref="C14:C15"/>
    <mergeCell ref="D14:D15"/>
    <mergeCell ref="E14:F14"/>
    <mergeCell ref="G14:H14"/>
  </mergeCells>
  <dataValidations count="1"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ageMargins left="0.7" right="0.7" top="0.75" bottom="0.75" header="0.3" footer="0.3"/>
  <pageSetup paperSize="9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L17"/>
  <sheetViews>
    <sheetView showZeros="0" tabSelected="1" zoomScale="90" zoomScaleNormal="90" workbookViewId="0">
      <selection activeCell="F16" sqref="B16:F16"/>
    </sheetView>
  </sheetViews>
  <sheetFormatPr baseColWidth="10" defaultColWidth="14.453125" defaultRowHeight="14.5" x14ac:dyDescent="0.35"/>
  <cols>
    <col min="1" max="1" width="20.54296875" style="14" customWidth="1"/>
    <col min="2" max="8" width="14.453125" style="14"/>
    <col min="10" max="10" width="17.08984375" customWidth="1"/>
    <col min="11" max="12" width="11.7265625" customWidth="1"/>
  </cols>
  <sheetData>
    <row r="1" spans="1:12" ht="54" customHeight="1" x14ac:dyDescent="0.35">
      <c r="A1" s="110" t="s">
        <v>43</v>
      </c>
      <c r="B1" s="110" t="s">
        <v>47</v>
      </c>
      <c r="C1" s="110" t="s">
        <v>48</v>
      </c>
      <c r="D1" s="110" t="s">
        <v>46</v>
      </c>
      <c r="E1" s="110" t="s">
        <v>48</v>
      </c>
      <c r="F1" s="110" t="s">
        <v>49</v>
      </c>
      <c r="G1" s="110" t="s">
        <v>127</v>
      </c>
      <c r="H1" s="110" t="s">
        <v>126</v>
      </c>
      <c r="I1" s="110" t="s">
        <v>125</v>
      </c>
      <c r="J1" s="142" t="s">
        <v>112</v>
      </c>
      <c r="K1" s="142"/>
      <c r="L1" s="142"/>
    </row>
    <row r="2" spans="1:12" x14ac:dyDescent="0.35">
      <c r="A2" s="96" t="str">
        <f>"Fin " &amp;YEAR(A3)-1</f>
        <v>Fin 2017</v>
      </c>
      <c r="B2" s="97"/>
      <c r="C2" s="93"/>
      <c r="D2" s="98"/>
      <c r="E2" s="94"/>
      <c r="F2" s="98"/>
      <c r="G2" s="98"/>
      <c r="H2" s="98">
        <v>10</v>
      </c>
      <c r="I2" s="95"/>
      <c r="J2" s="99"/>
      <c r="K2" s="99"/>
      <c r="L2" s="99"/>
    </row>
    <row r="3" spans="1:12" x14ac:dyDescent="0.35">
      <c r="A3" s="100">
        <v>43101</v>
      </c>
      <c r="B3" s="97">
        <f>SUMPRODUCT((data[Date]&gt;=A3)*(data[Date]&lt;=EOMONTH(A3,0))*data[Présence])</f>
        <v>0</v>
      </c>
      <c r="C3" s="111">
        <f>D3/24</f>
        <v>0</v>
      </c>
      <c r="D3" s="98">
        <f>SUMPRODUCT((data[Date]&gt;=A3)*(data[Date]&lt;=EOMONTH(A3,0))*data[Majoration])</f>
        <v>0</v>
      </c>
      <c r="E3" s="111">
        <f>F3/24</f>
        <v>0</v>
      </c>
      <c r="F3" s="98">
        <f>SUMPRODUCT((data[Date]&gt;=A3)*(data[Date]&lt;=EOMONTH(A3,0))*data[Htotales])</f>
        <v>0</v>
      </c>
      <c r="G3" s="98">
        <v>173</v>
      </c>
      <c r="H3" s="98">
        <f t="shared" ref="H3:H14" si="0">IF(F3=0,0,IF(F3&gt;G3,H2+D3,H2+D3-(G3-F3)))</f>
        <v>0</v>
      </c>
      <c r="I3" s="101">
        <f>SUMPRODUCT((data[Date]&gt;=A3)*(data[Date]&lt;=EOMONTH(A3,0))*(LEFT(data[Service],8)="vacances"))</f>
        <v>0</v>
      </c>
      <c r="J3" s="101" t="s">
        <v>113</v>
      </c>
      <c r="K3" s="101">
        <v>0</v>
      </c>
      <c r="L3" s="101">
        <f>MAX(0,K3-$I$16)</f>
        <v>0</v>
      </c>
    </row>
    <row r="4" spans="1:12" x14ac:dyDescent="0.35">
      <c r="A4" s="100">
        <v>43132</v>
      </c>
      <c r="B4" s="97">
        <f>SUMPRODUCT((data[Date]&gt;=A4)*(data[Date]&lt;=EOMONTH(A4,0))*data[Présence])</f>
        <v>9</v>
      </c>
      <c r="C4" s="111">
        <f t="shared" ref="C4:C14" si="1">D4/24</f>
        <v>0.33333333333333331</v>
      </c>
      <c r="D4" s="98">
        <f>SUMPRODUCT((data[Date]&gt;=A4)*(data[Date]&lt;=EOMONTH(A4,0))*data[Majoration])</f>
        <v>8</v>
      </c>
      <c r="E4" s="111">
        <f t="shared" ref="E4:E14" si="2">F4/24</f>
        <v>4.8743055555555559</v>
      </c>
      <c r="F4" s="98">
        <f>SUMPRODUCT((data[Date]&gt;=A4)*(data[Date]&lt;=EOMONTH(A4,0))*data[Htotales])</f>
        <v>116.98333333333333</v>
      </c>
      <c r="G4" s="98">
        <v>173</v>
      </c>
      <c r="H4" s="98">
        <f t="shared" si="0"/>
        <v>-48.016666666666666</v>
      </c>
      <c r="I4" s="101">
        <f>SUMPRODUCT((data[Date]&gt;=A4)*(data[Date]&lt;=EOMONTH(A4,0))*(LEFT(data[Service],8)="vacances"))</f>
        <v>1</v>
      </c>
      <c r="J4" s="101" t="s">
        <v>114</v>
      </c>
      <c r="K4" s="101">
        <v>14</v>
      </c>
      <c r="L4" s="101">
        <f>MAX(0,SUM(K$3:K4)-$I$16-SUM(L$3:L3))</f>
        <v>12</v>
      </c>
    </row>
    <row r="5" spans="1:12" x14ac:dyDescent="0.35">
      <c r="A5" s="100">
        <v>43160</v>
      </c>
      <c r="B5" s="97">
        <f>SUMPRODUCT((data[Date]&gt;=A5)*(data[Date]&lt;=EOMONTH(A5,0))*data[Présence])</f>
        <v>1</v>
      </c>
      <c r="C5" s="111">
        <f t="shared" si="1"/>
        <v>2.9166666666666664E-2</v>
      </c>
      <c r="D5" s="98">
        <f>SUMPRODUCT((data[Date]&gt;=A5)*(data[Date]&lt;=EOMONTH(A5,0))*data[Majoration])</f>
        <v>0.7</v>
      </c>
      <c r="E5" s="111">
        <f t="shared" si="2"/>
        <v>0.45833333333333331</v>
      </c>
      <c r="F5" s="98">
        <f>SUMPRODUCT((data[Date]&gt;=A5)*(data[Date]&lt;=EOMONTH(A5,0))*data[Htotales])</f>
        <v>11</v>
      </c>
      <c r="G5" s="98">
        <v>173</v>
      </c>
      <c r="H5" s="98">
        <f t="shared" si="0"/>
        <v>-209.31666666666666</v>
      </c>
      <c r="I5" s="101">
        <f>SUMPRODUCT((data[Date]&gt;=A5)*(data[Date]&lt;=EOMONTH(A5,0))*(LEFT(data[Service],8)="vacances"))</f>
        <v>0</v>
      </c>
      <c r="J5" s="101" t="s">
        <v>115</v>
      </c>
      <c r="K5" s="101">
        <v>25</v>
      </c>
      <c r="L5" s="101">
        <f>MAX(0,SUM(K$3:K5)-$I$16-SUM(L$3:L4))</f>
        <v>25</v>
      </c>
    </row>
    <row r="6" spans="1:12" x14ac:dyDescent="0.35">
      <c r="A6" s="100">
        <v>43191</v>
      </c>
      <c r="B6" s="97">
        <f>SUMPRODUCT((data[Date]&gt;=A6)*(data[Date]&lt;=EOMONTH(A6,0))*data[Présence])</f>
        <v>1</v>
      </c>
      <c r="C6" s="111">
        <f t="shared" si="1"/>
        <v>2.9166666666666664E-2</v>
      </c>
      <c r="D6" s="98">
        <f>SUMPRODUCT((data[Date]&gt;=A6)*(data[Date]&lt;=EOMONTH(A6,0))*data[Majoration])</f>
        <v>0.7</v>
      </c>
      <c r="E6" s="111">
        <f t="shared" si="2"/>
        <v>0.45833333333333331</v>
      </c>
      <c r="F6" s="98">
        <f>SUMPRODUCT((data[Date]&gt;=A6)*(data[Date]&lt;=EOMONTH(A6,0))*data[Htotales])</f>
        <v>11</v>
      </c>
      <c r="G6" s="98">
        <v>173</v>
      </c>
      <c r="H6" s="98">
        <f t="shared" si="0"/>
        <v>-370.61666666666667</v>
      </c>
      <c r="I6" s="101">
        <f>SUMPRODUCT((data[Date]&gt;=A6)*(data[Date]&lt;=EOMONTH(A6,0))*(LEFT(data[Service],8)="vacances"))</f>
        <v>0</v>
      </c>
      <c r="J6" s="101" t="s">
        <v>116</v>
      </c>
      <c r="K6" s="101">
        <v>0</v>
      </c>
      <c r="L6" s="101">
        <f>MAX(0,SUM(K$3:K6)-$I$16-SUM(L$3:L5))</f>
        <v>0</v>
      </c>
    </row>
    <row r="7" spans="1:12" x14ac:dyDescent="0.35">
      <c r="A7" s="100">
        <v>43221</v>
      </c>
      <c r="B7" s="97">
        <f>SUMPRODUCT((data[Date]&gt;=A7)*(data[Date]&lt;=EOMONTH(A7,0))*data[Présence])</f>
        <v>0</v>
      </c>
      <c r="C7" s="111">
        <f t="shared" si="1"/>
        <v>0</v>
      </c>
      <c r="D7" s="98">
        <f>SUMPRODUCT((data[Date]&gt;=A7)*(data[Date]&lt;=EOMONTH(A7,0))*data[Majoration])</f>
        <v>0</v>
      </c>
      <c r="E7" s="111">
        <f t="shared" si="2"/>
        <v>0</v>
      </c>
      <c r="F7" s="98">
        <f>SUMPRODUCT((data[Date]&gt;=A7)*(data[Date]&lt;=EOMONTH(A7,0))*data[Htotales])</f>
        <v>0</v>
      </c>
      <c r="G7" s="98">
        <v>173</v>
      </c>
      <c r="H7" s="98">
        <f t="shared" si="0"/>
        <v>0</v>
      </c>
      <c r="I7" s="101">
        <f>SUMPRODUCT((data[Date]&gt;=A7)*(data[Date]&lt;=EOMONTH(A7,0))*(LEFT(data[Service],8)="vacances"))</f>
        <v>0</v>
      </c>
      <c r="J7" s="101" t="s">
        <v>117</v>
      </c>
      <c r="K7" s="101"/>
      <c r="L7" s="101">
        <f>MAX(0,SUM(K$3:K7)-$I$16-SUM(L$3:L6))</f>
        <v>0</v>
      </c>
    </row>
    <row r="8" spans="1:12" x14ac:dyDescent="0.35">
      <c r="A8" s="100">
        <v>43252</v>
      </c>
      <c r="B8" s="97">
        <f>SUMPRODUCT((data[Date]&gt;=A8)*(data[Date]&lt;=EOMONTH(A8,0))*data[Présence])</f>
        <v>0</v>
      </c>
      <c r="C8" s="111">
        <f t="shared" si="1"/>
        <v>0</v>
      </c>
      <c r="D8" s="98">
        <f>SUMPRODUCT((data[Date]&gt;=A8)*(data[Date]&lt;=EOMONTH(A8,0))*data[Majoration])</f>
        <v>0</v>
      </c>
      <c r="E8" s="111">
        <f t="shared" si="2"/>
        <v>0.33263888888888893</v>
      </c>
      <c r="F8" s="98">
        <f>SUMPRODUCT((data[Date]&gt;=A8)*(data[Date]&lt;=EOMONTH(A8,0))*data[Htotales])</f>
        <v>7.9833333333333343</v>
      </c>
      <c r="G8" s="98">
        <v>173</v>
      </c>
      <c r="H8" s="98">
        <f t="shared" si="0"/>
        <v>-165.01666666666665</v>
      </c>
      <c r="I8" s="101">
        <f>SUMPRODUCT((data[Date]&gt;=A8)*(data[Date]&lt;=EOMONTH(A8,0))*(LEFT(data[Service],8)="vacances"))</f>
        <v>1</v>
      </c>
      <c r="J8" s="101" t="s">
        <v>118</v>
      </c>
      <c r="K8" s="101"/>
      <c r="L8" s="101">
        <f>MAX(0,SUM(K$3:K8)-$I$16-SUM(L$3:L7))</f>
        <v>0</v>
      </c>
    </row>
    <row r="9" spans="1:12" x14ac:dyDescent="0.35">
      <c r="A9" s="100">
        <v>43282</v>
      </c>
      <c r="B9" s="97">
        <f>SUMPRODUCT((data[Date]&gt;=A9)*(data[Date]&lt;=EOMONTH(A9,0))*data[Présence])</f>
        <v>0</v>
      </c>
      <c r="C9" s="111">
        <f t="shared" si="1"/>
        <v>0</v>
      </c>
      <c r="D9" s="98">
        <f>SUMPRODUCT((data[Date]&gt;=A9)*(data[Date]&lt;=EOMONTH(A9,0))*data[Majoration])</f>
        <v>0</v>
      </c>
      <c r="E9" s="111">
        <f t="shared" si="2"/>
        <v>0</v>
      </c>
      <c r="F9" s="98">
        <f>SUMPRODUCT((data[Date]&gt;=A9)*(data[Date]&lt;=EOMONTH(A9,0))*data[Htotales])</f>
        <v>0</v>
      </c>
      <c r="G9" s="98">
        <v>173</v>
      </c>
      <c r="H9" s="98">
        <f t="shared" si="0"/>
        <v>0</v>
      </c>
      <c r="I9" s="101">
        <f>SUMPRODUCT((data[Date]&gt;=A9)*(data[Date]&lt;=EOMONTH(A9,0))*(LEFT(data[Service],8)="vacances"))</f>
        <v>0</v>
      </c>
      <c r="J9" s="101" t="s">
        <v>119</v>
      </c>
      <c r="K9" s="101"/>
      <c r="L9" s="101">
        <f>MAX(0,SUM(K$3:K9)-$I$16-SUM(L$3:L8))</f>
        <v>0</v>
      </c>
    </row>
    <row r="10" spans="1:12" x14ac:dyDescent="0.35">
      <c r="A10" s="100">
        <v>43313</v>
      </c>
      <c r="B10" s="97">
        <f>SUMPRODUCT((data[Date]&gt;=A10)*(data[Date]&lt;=EOMONTH(A10,0))*data[Présence])</f>
        <v>0</v>
      </c>
      <c r="C10" s="111">
        <f t="shared" si="1"/>
        <v>0</v>
      </c>
      <c r="D10" s="98">
        <f>SUMPRODUCT((data[Date]&gt;=A10)*(data[Date]&lt;=EOMONTH(A10,0))*data[Majoration])</f>
        <v>0</v>
      </c>
      <c r="E10" s="111">
        <f t="shared" si="2"/>
        <v>0</v>
      </c>
      <c r="F10" s="98">
        <f>SUMPRODUCT((data[Date]&gt;=A10)*(data[Date]&lt;=EOMONTH(A10,0))*data[Htotales])</f>
        <v>0</v>
      </c>
      <c r="G10" s="98">
        <v>173</v>
      </c>
      <c r="H10" s="98">
        <f t="shared" si="0"/>
        <v>0</v>
      </c>
      <c r="I10" s="101">
        <f>SUMPRODUCT((data[Date]&gt;=A10)*(data[Date]&lt;=EOMONTH(A10,0))*(LEFT(data[Service],8)="vacances"))</f>
        <v>0</v>
      </c>
      <c r="J10" s="101" t="s">
        <v>120</v>
      </c>
      <c r="K10" s="101"/>
      <c r="L10" s="101">
        <f>MAX(0,SUM(K$3:K10)-$I$16-SUM(L$3:L9))</f>
        <v>0</v>
      </c>
    </row>
    <row r="11" spans="1:12" x14ac:dyDescent="0.35">
      <c r="A11" s="100">
        <v>43344</v>
      </c>
      <c r="B11" s="97">
        <f>SUMPRODUCT((data[Date]&gt;=A11)*(data[Date]&lt;=EOMONTH(A11,0))*data[Présence])</f>
        <v>0</v>
      </c>
      <c r="C11" s="111">
        <f t="shared" si="1"/>
        <v>0</v>
      </c>
      <c r="D11" s="98">
        <f>SUMPRODUCT((data[Date]&gt;=A11)*(data[Date]&lt;=EOMONTH(A11,0))*data[Majoration])</f>
        <v>0</v>
      </c>
      <c r="E11" s="111">
        <f t="shared" si="2"/>
        <v>0</v>
      </c>
      <c r="F11" s="98">
        <f>SUMPRODUCT((data[Date]&gt;=A11)*(data[Date]&lt;=EOMONTH(A11,0))*data[Htotales])</f>
        <v>0</v>
      </c>
      <c r="G11" s="98">
        <v>173</v>
      </c>
      <c r="H11" s="98">
        <f t="shared" si="0"/>
        <v>0</v>
      </c>
      <c r="I11" s="101">
        <f>SUMPRODUCT((data[Date]&gt;=A11)*(data[Date]&lt;=EOMONTH(A11,0))*(LEFT(data[Service],8)="vacances"))</f>
        <v>0</v>
      </c>
      <c r="J11" s="101" t="s">
        <v>121</v>
      </c>
      <c r="K11" s="101"/>
      <c r="L11" s="101">
        <f>MAX(0,SUM(K$3:K11)-$I$16-SUM(L$3:L10))</f>
        <v>0</v>
      </c>
    </row>
    <row r="12" spans="1:12" x14ac:dyDescent="0.35">
      <c r="A12" s="100">
        <v>43374</v>
      </c>
      <c r="B12" s="97">
        <f>SUMPRODUCT((data[Date]&gt;=A12)*(data[Date]&lt;=EOMONTH(A12,0))*data[Présence])</f>
        <v>0</v>
      </c>
      <c r="C12" s="111">
        <f t="shared" si="1"/>
        <v>0</v>
      </c>
      <c r="D12" s="98">
        <f>SUMPRODUCT((data[Date]&gt;=A12)*(data[Date]&lt;=EOMONTH(A12,0))*data[Majoration])</f>
        <v>0</v>
      </c>
      <c r="E12" s="111">
        <f t="shared" si="2"/>
        <v>0</v>
      </c>
      <c r="F12" s="98">
        <f>SUMPRODUCT((data[Date]&gt;=A12)*(data[Date]&lt;=EOMONTH(A12,0))*data[Htotales])</f>
        <v>0</v>
      </c>
      <c r="G12" s="98">
        <v>173</v>
      </c>
      <c r="H12" s="98">
        <f t="shared" si="0"/>
        <v>0</v>
      </c>
      <c r="I12" s="101">
        <f>SUMPRODUCT((data[Date]&gt;=A12)*(data[Date]&lt;=EOMONTH(A12,0))*(LEFT(data[Service],8)="vacances"))</f>
        <v>0</v>
      </c>
      <c r="J12" s="101" t="s">
        <v>122</v>
      </c>
      <c r="K12" s="101"/>
      <c r="L12" s="101">
        <f>MAX(0,SUM(K$3:K12)-$I$16-SUM(L$3:L11))</f>
        <v>0</v>
      </c>
    </row>
    <row r="13" spans="1:12" x14ac:dyDescent="0.35">
      <c r="A13" s="100">
        <v>43405</v>
      </c>
      <c r="B13" s="97">
        <f>SUMPRODUCT((data[Date]&gt;=A13)*(data[Date]&lt;=EOMONTH(A13,0))*data[Présence])</f>
        <v>0</v>
      </c>
      <c r="C13" s="111">
        <f t="shared" si="1"/>
        <v>0</v>
      </c>
      <c r="D13" s="98">
        <f>SUMPRODUCT((data[Date]&gt;=A13)*(data[Date]&lt;=EOMONTH(A13,0))*data[Majoration])</f>
        <v>0</v>
      </c>
      <c r="E13" s="111">
        <f t="shared" si="2"/>
        <v>0</v>
      </c>
      <c r="F13" s="98">
        <f>SUMPRODUCT((data[Date]&gt;=A13)*(data[Date]&lt;=EOMONTH(A13,0))*data[Htotales])</f>
        <v>0</v>
      </c>
      <c r="G13" s="98">
        <v>173</v>
      </c>
      <c r="H13" s="98">
        <f t="shared" si="0"/>
        <v>0</v>
      </c>
      <c r="I13" s="101">
        <f>SUMPRODUCT((data[Date]&gt;=A13)*(data[Date]&lt;=EOMONTH(A13,0))*(LEFT(data[Service],8)="vacances"))</f>
        <v>0</v>
      </c>
      <c r="J13" s="101" t="s">
        <v>123</v>
      </c>
      <c r="K13" s="101"/>
      <c r="L13" s="101">
        <f>MAX(0,SUM(K$3:K13)-$I$16-SUM(L$3:L12))</f>
        <v>0</v>
      </c>
    </row>
    <row r="14" spans="1:12" x14ac:dyDescent="0.35">
      <c r="A14" s="100">
        <v>43435</v>
      </c>
      <c r="B14" s="97">
        <f>SUMPRODUCT((data[Date]&gt;=A14)*(data[Date]&lt;=EOMONTH(A14,0))*data[Présence])</f>
        <v>0</v>
      </c>
      <c r="C14" s="111">
        <f t="shared" si="1"/>
        <v>0</v>
      </c>
      <c r="D14" s="98">
        <f>SUMPRODUCT((data[Date]&gt;=A14)*(data[Date]&lt;=EOMONTH(A14,0))*data[Majoration])</f>
        <v>0</v>
      </c>
      <c r="E14" s="111">
        <f t="shared" si="2"/>
        <v>0</v>
      </c>
      <c r="F14" s="98">
        <f>SUMPRODUCT((data[Date]&gt;=A14)*(data[Date]&lt;=EOMONTH(A14,0))*data[Htotales])</f>
        <v>0</v>
      </c>
      <c r="G14" s="98">
        <v>173</v>
      </c>
      <c r="H14" s="98">
        <f t="shared" si="0"/>
        <v>0</v>
      </c>
      <c r="I14" s="101">
        <f>SUMPRODUCT((data[Date]&gt;=A14)*(data[Date]&lt;=EOMONTH(A14,0))*(LEFT(data[Service],8)="vacances"))</f>
        <v>0</v>
      </c>
      <c r="J14" s="101" t="s">
        <v>124</v>
      </c>
      <c r="K14" s="101"/>
      <c r="L14" s="101">
        <f>MAX(0,SUM(K$3:K14)-$I$16-SUM(L$3:L13))</f>
        <v>0</v>
      </c>
    </row>
    <row r="15" spans="1:12" ht="15" thickBot="1" x14ac:dyDescent="0.4">
      <c r="A15" s="89"/>
      <c r="B15" s="89"/>
      <c r="C15" s="90"/>
      <c r="D15" s="91"/>
      <c r="E15" s="92"/>
      <c r="F15" s="89"/>
      <c r="G15" s="40"/>
      <c r="H15" s="40"/>
      <c r="I15" s="39"/>
      <c r="J15" s="37"/>
      <c r="K15" s="37"/>
      <c r="L15" s="34"/>
    </row>
    <row r="16" spans="1:12" ht="24" thickBot="1" x14ac:dyDescent="0.4">
      <c r="A16" s="112" t="s">
        <v>44</v>
      </c>
      <c r="B16" s="143">
        <f>SUM(B3:B15)</f>
        <v>11</v>
      </c>
      <c r="C16" s="144">
        <f>SUM(C3:C14)</f>
        <v>0.39166666666666666</v>
      </c>
      <c r="D16" s="145">
        <f>SUM(D3:D15)</f>
        <v>9.3999999999999986</v>
      </c>
      <c r="E16" s="146">
        <f>SUM(E3:E14)</f>
        <v>6.1236111111111109</v>
      </c>
      <c r="F16" s="147">
        <f>SUM(F3:F15)</f>
        <v>146.9666666666667</v>
      </c>
      <c r="G16" s="41"/>
      <c r="H16" s="41"/>
      <c r="I16" s="38">
        <f>I3+I4+I5+I6+I7+I8+I9+I10+I11+I12+I13+I14</f>
        <v>2</v>
      </c>
      <c r="J16" s="36"/>
      <c r="K16" s="35">
        <f>K3+K4+K5+K6+K7+K8+K9+K10+K11+K12+K13+K14</f>
        <v>39</v>
      </c>
      <c r="L16" s="35">
        <f>L3+L4+L5+L6+L7+L8+L9+L10+L11+L12+L13+L14</f>
        <v>37</v>
      </c>
    </row>
    <row r="17" spans="1:11" ht="23.5" x14ac:dyDescent="0.35">
      <c r="A17" s="15"/>
      <c r="B17" s="16"/>
      <c r="C17" s="16"/>
      <c r="D17" s="17"/>
      <c r="E17" s="17"/>
      <c r="F17" s="17"/>
      <c r="G17" s="17"/>
      <c r="H17" s="17"/>
      <c r="I17" s="18"/>
      <c r="J17" s="36"/>
      <c r="K17" s="36"/>
    </row>
  </sheetData>
  <sheetProtection selectLockedCells="1"/>
  <mergeCells count="1">
    <mergeCell ref="J1:L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D16:E16 C16 D3:D14" formula="1"/>
    <ignoredError sqref="L4:L5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76"/>
  <sheetViews>
    <sheetView showZeros="0" topLeftCell="A58" workbookViewId="0">
      <selection activeCell="F70" sqref="F70"/>
    </sheetView>
  </sheetViews>
  <sheetFormatPr baseColWidth="10" defaultColWidth="11.54296875" defaultRowHeight="14.5" x14ac:dyDescent="0.35"/>
  <cols>
    <col min="1" max="1" width="21.36328125" style="4" customWidth="1"/>
    <col min="2" max="2" width="23.08984375" style="26" customWidth="1"/>
    <col min="3" max="3" width="17.08984375" style="4" customWidth="1"/>
    <col min="4" max="4" width="24.81640625" style="4" customWidth="1"/>
    <col min="5" max="5" width="23.54296875" style="4" customWidth="1"/>
    <col min="6" max="6" width="18.26953125" style="4" bestFit="1" customWidth="1"/>
    <col min="7" max="16384" width="11.54296875" style="4"/>
  </cols>
  <sheetData>
    <row r="1" spans="1:4" x14ac:dyDescent="0.35">
      <c r="A1" s="21">
        <v>2018</v>
      </c>
      <c r="B1" s="22" t="s">
        <v>36</v>
      </c>
      <c r="C1" s="23">
        <v>43101</v>
      </c>
      <c r="D1" s="24">
        <f>IF(WEEKDAY(C1,2)=7,0,C1)</f>
        <v>43101</v>
      </c>
    </row>
    <row r="2" spans="1:4" x14ac:dyDescent="0.35">
      <c r="A2" s="25"/>
      <c r="B2" s="22" t="s">
        <v>33</v>
      </c>
      <c r="C2" s="23">
        <v>43189</v>
      </c>
      <c r="D2" s="24">
        <f t="shared" ref="D2:D12" si="0">IF(WEEKDAY(C2,2)=7,0,C2)</f>
        <v>43189</v>
      </c>
    </row>
    <row r="3" spans="1:4" x14ac:dyDescent="0.35">
      <c r="A3" s="25"/>
      <c r="B3" s="22" t="s">
        <v>7</v>
      </c>
      <c r="C3" s="23">
        <v>43192</v>
      </c>
      <c r="D3" s="24">
        <f t="shared" si="0"/>
        <v>43192</v>
      </c>
    </row>
    <row r="4" spans="1:4" x14ac:dyDescent="0.35">
      <c r="A4" s="25"/>
      <c r="B4" s="22" t="s">
        <v>37</v>
      </c>
      <c r="C4" s="23">
        <v>43230</v>
      </c>
      <c r="D4" s="24">
        <f t="shared" si="0"/>
        <v>43230</v>
      </c>
    </row>
    <row r="5" spans="1:4" x14ac:dyDescent="0.35">
      <c r="A5" s="25"/>
      <c r="B5" s="22" t="s">
        <v>38</v>
      </c>
      <c r="C5" s="23">
        <v>43241</v>
      </c>
      <c r="D5" s="24">
        <f t="shared" si="0"/>
        <v>43241</v>
      </c>
    </row>
    <row r="6" spans="1:4" x14ac:dyDescent="0.35">
      <c r="A6" s="25"/>
      <c r="B6" s="22" t="s">
        <v>39</v>
      </c>
      <c r="C6" s="23">
        <v>43313</v>
      </c>
      <c r="D6" s="24">
        <f t="shared" si="0"/>
        <v>43313</v>
      </c>
    </row>
    <row r="7" spans="1:4" x14ac:dyDescent="0.35">
      <c r="A7" s="25"/>
      <c r="B7" s="22" t="s">
        <v>40</v>
      </c>
      <c r="C7" s="23">
        <v>43349</v>
      </c>
      <c r="D7" s="24">
        <f t="shared" si="0"/>
        <v>43349</v>
      </c>
    </row>
    <row r="8" spans="1:4" x14ac:dyDescent="0.35">
      <c r="A8" s="25"/>
      <c r="B8" s="22" t="s">
        <v>41</v>
      </c>
      <c r="C8" s="23">
        <v>43459</v>
      </c>
      <c r="D8" s="24">
        <f t="shared" si="0"/>
        <v>43459</v>
      </c>
    </row>
    <row r="9" spans="1:4" x14ac:dyDescent="0.35">
      <c r="A9" s="25"/>
      <c r="B9" s="22" t="s">
        <v>34</v>
      </c>
      <c r="C9" s="23">
        <v>43465</v>
      </c>
      <c r="D9" s="24">
        <f t="shared" si="0"/>
        <v>43465</v>
      </c>
    </row>
    <row r="10" spans="1:4" x14ac:dyDescent="0.35">
      <c r="A10" s="25"/>
      <c r="B10" s="22" t="s">
        <v>35</v>
      </c>
      <c r="C10" s="23"/>
      <c r="D10" s="24">
        <f t="shared" si="0"/>
        <v>0</v>
      </c>
    </row>
    <row r="11" spans="1:4" x14ac:dyDescent="0.35">
      <c r="A11" s="25"/>
      <c r="B11" s="22" t="s">
        <v>35</v>
      </c>
      <c r="C11" s="23"/>
      <c r="D11" s="24">
        <f t="shared" si="0"/>
        <v>0</v>
      </c>
    </row>
    <row r="12" spans="1:4" x14ac:dyDescent="0.35">
      <c r="A12" s="25"/>
      <c r="B12" s="22" t="s">
        <v>35</v>
      </c>
      <c r="C12" s="23"/>
      <c r="D12" s="24">
        <f t="shared" si="0"/>
        <v>0</v>
      </c>
    </row>
    <row r="14" spans="1:4" x14ac:dyDescent="0.35">
      <c r="A14" s="53" t="s">
        <v>12</v>
      </c>
      <c r="B14" s="54">
        <v>0.95833333333333337</v>
      </c>
    </row>
    <row r="15" spans="1:4" x14ac:dyDescent="0.35">
      <c r="A15" s="53" t="s">
        <v>13</v>
      </c>
      <c r="B15" s="55">
        <v>1.25</v>
      </c>
    </row>
    <row r="16" spans="1:4" x14ac:dyDescent="0.35">
      <c r="A16" s="53" t="s">
        <v>14</v>
      </c>
      <c r="B16" s="54">
        <v>0.25</v>
      </c>
    </row>
    <row r="17" spans="1:6" x14ac:dyDescent="0.35">
      <c r="A17" s="53" t="s">
        <v>15</v>
      </c>
      <c r="B17" s="54">
        <v>0.95833333333333337</v>
      </c>
    </row>
    <row r="19" spans="1:6" x14ac:dyDescent="0.35">
      <c r="A19" s="4" t="s">
        <v>91</v>
      </c>
      <c r="B19" s="5" t="s">
        <v>89</v>
      </c>
      <c r="C19" s="5" t="s">
        <v>90</v>
      </c>
      <c r="D19" s="4" t="s">
        <v>110</v>
      </c>
      <c r="E19" s="4" t="s">
        <v>129</v>
      </c>
      <c r="F19" s="4" t="s">
        <v>134</v>
      </c>
    </row>
    <row r="20" spans="1:6" x14ac:dyDescent="0.35">
      <c r="A20" s="107" t="s">
        <v>92</v>
      </c>
      <c r="B20" s="108">
        <v>0.75</v>
      </c>
      <c r="C20" s="108">
        <v>0.125</v>
      </c>
      <c r="D20" s="107"/>
      <c r="E20" s="107" t="s">
        <v>130</v>
      </c>
      <c r="F20" s="106"/>
    </row>
    <row r="21" spans="1:6" x14ac:dyDescent="0.35">
      <c r="A21" s="107" t="s">
        <v>52</v>
      </c>
      <c r="B21" s="108">
        <v>0.27083333333333331</v>
      </c>
      <c r="C21" s="108">
        <v>0.77083333333333337</v>
      </c>
      <c r="D21" s="107"/>
      <c r="E21" s="107" t="s">
        <v>130</v>
      </c>
      <c r="F21" s="106"/>
    </row>
    <row r="22" spans="1:6" x14ac:dyDescent="0.35">
      <c r="A22" s="107" t="s">
        <v>53</v>
      </c>
      <c r="B22" s="108">
        <v>0.77083333333333337</v>
      </c>
      <c r="C22" s="108">
        <v>0.27083333333333331</v>
      </c>
      <c r="D22" s="107"/>
      <c r="E22" s="107" t="s">
        <v>130</v>
      </c>
      <c r="F22" s="106"/>
    </row>
    <row r="23" spans="1:6" x14ac:dyDescent="0.35">
      <c r="A23" s="107" t="s">
        <v>54</v>
      </c>
      <c r="B23" s="108">
        <v>0.82291666666666663</v>
      </c>
      <c r="C23" s="108">
        <v>0.28125</v>
      </c>
      <c r="D23" s="107"/>
      <c r="E23" s="107" t="s">
        <v>130</v>
      </c>
      <c r="F23" s="106"/>
    </row>
    <row r="24" spans="1:6" x14ac:dyDescent="0.35">
      <c r="A24" s="107" t="s">
        <v>55</v>
      </c>
      <c r="B24" s="108">
        <v>0.29166666666666669</v>
      </c>
      <c r="C24" s="108">
        <v>0.79166666666666663</v>
      </c>
      <c r="D24" s="107"/>
      <c r="E24" s="107" t="s">
        <v>130</v>
      </c>
      <c r="F24" s="106"/>
    </row>
    <row r="25" spans="1:6" x14ac:dyDescent="0.35">
      <c r="A25" s="107" t="s">
        <v>56</v>
      </c>
      <c r="B25" s="108">
        <v>0.79166666666666663</v>
      </c>
      <c r="C25" s="108">
        <v>0.29166666666666669</v>
      </c>
      <c r="D25" s="107"/>
      <c r="E25" s="107" t="s">
        <v>130</v>
      </c>
      <c r="F25" s="106"/>
    </row>
    <row r="26" spans="1:6" x14ac:dyDescent="0.35">
      <c r="A26" s="107" t="s">
        <v>57</v>
      </c>
      <c r="B26" s="108">
        <v>0.25</v>
      </c>
      <c r="C26" s="108">
        <v>0.75</v>
      </c>
      <c r="D26" s="107"/>
      <c r="E26" s="107" t="s">
        <v>130</v>
      </c>
      <c r="F26" s="106"/>
    </row>
    <row r="27" spans="1:6" x14ac:dyDescent="0.35">
      <c r="A27" s="107" t="s">
        <v>58</v>
      </c>
      <c r="B27" s="108">
        <v>0.75</v>
      </c>
      <c r="C27" s="108">
        <v>0.25</v>
      </c>
      <c r="D27" s="107"/>
      <c r="E27" s="107" t="s">
        <v>130</v>
      </c>
      <c r="F27" s="106"/>
    </row>
    <row r="28" spans="1:6" x14ac:dyDescent="0.35">
      <c r="A28" s="107" t="s">
        <v>59</v>
      </c>
      <c r="B28" s="108">
        <v>0.25</v>
      </c>
      <c r="C28" s="108">
        <v>0.75</v>
      </c>
      <c r="D28" s="107"/>
      <c r="E28" s="107" t="s">
        <v>130</v>
      </c>
      <c r="F28" s="106"/>
    </row>
    <row r="29" spans="1:6" x14ac:dyDescent="0.35">
      <c r="A29" s="107" t="s">
        <v>60</v>
      </c>
      <c r="B29" s="108">
        <v>0.75</v>
      </c>
      <c r="C29" s="108">
        <v>0.25</v>
      </c>
      <c r="D29" s="107"/>
      <c r="E29" s="107" t="s">
        <v>130</v>
      </c>
      <c r="F29" s="106"/>
    </row>
    <row r="30" spans="1:6" x14ac:dyDescent="0.35">
      <c r="A30" s="107" t="s">
        <v>61</v>
      </c>
      <c r="B30" s="108">
        <v>0.22916666666666666</v>
      </c>
      <c r="C30" s="108">
        <v>0.72916666666666663</v>
      </c>
      <c r="D30" s="107"/>
      <c r="E30" s="107" t="s">
        <v>130</v>
      </c>
      <c r="F30" s="106"/>
    </row>
    <row r="31" spans="1:6" x14ac:dyDescent="0.35">
      <c r="A31" s="107" t="s">
        <v>62</v>
      </c>
      <c r="B31" s="108">
        <v>0.72916666666666663</v>
      </c>
      <c r="C31" s="108">
        <v>0.22916666666666666</v>
      </c>
      <c r="D31" s="107"/>
      <c r="E31" s="107" t="s">
        <v>130</v>
      </c>
      <c r="F31" s="106"/>
    </row>
    <row r="32" spans="1:6" x14ac:dyDescent="0.35">
      <c r="A32" s="107" t="s">
        <v>63</v>
      </c>
      <c r="B32" s="108">
        <v>0.83333333333333337</v>
      </c>
      <c r="C32" s="108">
        <v>0.29166666666666669</v>
      </c>
      <c r="D32" s="107"/>
      <c r="E32" s="107" t="s">
        <v>130</v>
      </c>
      <c r="F32" s="106"/>
    </row>
    <row r="33" spans="1:6" x14ac:dyDescent="0.35">
      <c r="A33" s="107" t="s">
        <v>64</v>
      </c>
      <c r="B33" s="108">
        <v>0.25</v>
      </c>
      <c r="C33" s="108">
        <v>0.75</v>
      </c>
      <c r="D33" s="107"/>
      <c r="E33" s="107" t="s">
        <v>130</v>
      </c>
      <c r="F33" s="106"/>
    </row>
    <row r="34" spans="1:6" x14ac:dyDescent="0.35">
      <c r="A34" s="107" t="s">
        <v>65</v>
      </c>
      <c r="B34" s="108">
        <v>0.75</v>
      </c>
      <c r="C34" s="108">
        <v>0.25</v>
      </c>
      <c r="D34" s="107"/>
      <c r="E34" s="107" t="s">
        <v>130</v>
      </c>
      <c r="F34" s="106"/>
    </row>
    <row r="35" spans="1:6" x14ac:dyDescent="0.35">
      <c r="A35" s="107" t="s">
        <v>66</v>
      </c>
      <c r="B35" s="108">
        <v>0.25</v>
      </c>
      <c r="C35" s="108">
        <v>0.75</v>
      </c>
      <c r="D35" s="107"/>
      <c r="E35" s="107" t="s">
        <v>130</v>
      </c>
      <c r="F35" s="106"/>
    </row>
    <row r="36" spans="1:6" x14ac:dyDescent="0.35">
      <c r="A36" s="107" t="s">
        <v>67</v>
      </c>
      <c r="B36" s="108">
        <v>0.75</v>
      </c>
      <c r="C36" s="108">
        <v>0.25</v>
      </c>
      <c r="D36" s="107"/>
      <c r="E36" s="107" t="s">
        <v>130</v>
      </c>
      <c r="F36" s="106"/>
    </row>
    <row r="37" spans="1:6" x14ac:dyDescent="0.35">
      <c r="A37" s="107" t="s">
        <v>68</v>
      </c>
      <c r="B37" s="108">
        <v>0.85416666666666663</v>
      </c>
      <c r="C37" s="108">
        <v>0.3125</v>
      </c>
      <c r="D37" s="107"/>
      <c r="E37" s="107" t="s">
        <v>130</v>
      </c>
      <c r="F37" s="106"/>
    </row>
    <row r="38" spans="1:6" x14ac:dyDescent="0.35">
      <c r="A38" s="107" t="s">
        <v>94</v>
      </c>
      <c r="B38" s="108">
        <v>0.25</v>
      </c>
      <c r="C38" s="108">
        <v>0.75</v>
      </c>
      <c r="D38" s="107"/>
      <c r="E38" s="107" t="s">
        <v>130</v>
      </c>
      <c r="F38" s="106"/>
    </row>
    <row r="39" spans="1:6" x14ac:dyDescent="0.35">
      <c r="A39" s="107" t="s">
        <v>93</v>
      </c>
      <c r="B39" s="108">
        <v>0.27083333333333331</v>
      </c>
      <c r="C39" s="108">
        <v>0.77083333333333337</v>
      </c>
      <c r="D39" s="107"/>
      <c r="E39" s="107" t="s">
        <v>130</v>
      </c>
      <c r="F39" s="106"/>
    </row>
    <row r="40" spans="1:6" x14ac:dyDescent="0.35">
      <c r="A40" s="107" t="s">
        <v>69</v>
      </c>
      <c r="B40" s="108">
        <v>0.8125</v>
      </c>
      <c r="C40" s="108">
        <v>0.27083333333333331</v>
      </c>
      <c r="D40" s="107"/>
      <c r="E40" s="107" t="s">
        <v>130</v>
      </c>
      <c r="F40" s="106"/>
    </row>
    <row r="41" spans="1:6" x14ac:dyDescent="0.35">
      <c r="A41" s="107" t="s">
        <v>70</v>
      </c>
      <c r="B41" s="108">
        <v>0.29166666666666669</v>
      </c>
      <c r="C41" s="108">
        <v>0.79166666666666663</v>
      </c>
      <c r="D41" s="107"/>
      <c r="E41" s="107" t="s">
        <v>130</v>
      </c>
      <c r="F41" s="106"/>
    </row>
    <row r="42" spans="1:6" x14ac:dyDescent="0.35">
      <c r="A42" s="107" t="s">
        <v>71</v>
      </c>
      <c r="B42" s="108">
        <v>0.79166666666666663</v>
      </c>
      <c r="C42" s="108">
        <v>0.29166666666666669</v>
      </c>
      <c r="D42" s="107"/>
      <c r="E42" s="107" t="s">
        <v>130</v>
      </c>
      <c r="F42" s="106"/>
    </row>
    <row r="43" spans="1:6" x14ac:dyDescent="0.35">
      <c r="A43" s="107" t="s">
        <v>72</v>
      </c>
      <c r="B43" s="108">
        <v>0.72916666666666663</v>
      </c>
      <c r="C43" s="108">
        <v>0.1875</v>
      </c>
      <c r="D43" s="107"/>
      <c r="E43" s="107" t="s">
        <v>130</v>
      </c>
      <c r="F43" s="106"/>
    </row>
    <row r="44" spans="1:6" x14ac:dyDescent="0.35">
      <c r="A44" s="107" t="s">
        <v>73</v>
      </c>
      <c r="B44" s="108">
        <v>0.8125</v>
      </c>
      <c r="C44" s="108">
        <v>0.27083333333333331</v>
      </c>
      <c r="D44" s="107"/>
      <c r="E44" s="107" t="s">
        <v>130</v>
      </c>
      <c r="F44" s="106"/>
    </row>
    <row r="45" spans="1:6" x14ac:dyDescent="0.35">
      <c r="A45" s="107" t="s">
        <v>74</v>
      </c>
      <c r="B45" s="108">
        <v>0.72916666666666663</v>
      </c>
      <c r="C45" s="108">
        <v>0.1875</v>
      </c>
      <c r="D45" s="107"/>
      <c r="E45" s="107" t="s">
        <v>130</v>
      </c>
      <c r="F45" s="106"/>
    </row>
    <row r="46" spans="1:6" x14ac:dyDescent="0.35">
      <c r="A46" s="107" t="s">
        <v>75</v>
      </c>
      <c r="B46" s="108">
        <v>0.77083333333333337</v>
      </c>
      <c r="C46" s="108">
        <v>0.22916666666666666</v>
      </c>
      <c r="D46" s="107"/>
      <c r="E46" s="107" t="s">
        <v>130</v>
      </c>
      <c r="F46" s="106"/>
    </row>
    <row r="47" spans="1:6" x14ac:dyDescent="0.35">
      <c r="A47" s="107" t="s">
        <v>76</v>
      </c>
      <c r="B47" s="108">
        <v>0.75</v>
      </c>
      <c r="C47" s="108">
        <v>0.20833333333333334</v>
      </c>
      <c r="D47" s="107"/>
      <c r="E47" s="107" t="s">
        <v>130</v>
      </c>
      <c r="F47" s="106"/>
    </row>
    <row r="48" spans="1:6" x14ac:dyDescent="0.35">
      <c r="A48" s="107" t="s">
        <v>77</v>
      </c>
      <c r="B48" s="108">
        <v>0.80208333333333337</v>
      </c>
      <c r="C48" s="108">
        <v>0.26041666666666669</v>
      </c>
      <c r="D48" s="107"/>
      <c r="E48" s="107" t="s">
        <v>130</v>
      </c>
      <c r="F48" s="106"/>
    </row>
    <row r="49" spans="1:6" x14ac:dyDescent="0.35">
      <c r="A49" s="107" t="s">
        <v>78</v>
      </c>
      <c r="B49" s="108">
        <v>0.86458333333333337</v>
      </c>
      <c r="C49" s="108">
        <v>0.32291666666666669</v>
      </c>
      <c r="D49" s="107"/>
      <c r="E49" s="107" t="s">
        <v>130</v>
      </c>
      <c r="F49" s="106"/>
    </row>
    <row r="50" spans="1:6" x14ac:dyDescent="0.35">
      <c r="A50" s="107" t="s">
        <v>96</v>
      </c>
      <c r="B50" s="108">
        <v>0.25</v>
      </c>
      <c r="C50" s="108">
        <v>0.75</v>
      </c>
      <c r="D50" s="107"/>
      <c r="E50" s="107" t="s">
        <v>130</v>
      </c>
      <c r="F50" s="106"/>
    </row>
    <row r="51" spans="1:6" x14ac:dyDescent="0.35">
      <c r="A51" s="107" t="s">
        <v>95</v>
      </c>
      <c r="B51" s="108">
        <v>0.27083333333333331</v>
      </c>
      <c r="C51" s="108">
        <v>0.77083333333333337</v>
      </c>
      <c r="D51" s="107"/>
      <c r="E51" s="107" t="s">
        <v>130</v>
      </c>
      <c r="F51" s="106"/>
    </row>
    <row r="52" spans="1:6" x14ac:dyDescent="0.35">
      <c r="A52" s="107" t="s">
        <v>79</v>
      </c>
      <c r="B52" s="108">
        <v>0.75</v>
      </c>
      <c r="C52" s="108">
        <v>0.20833333333333334</v>
      </c>
      <c r="D52" s="107"/>
      <c r="E52" s="107" t="s">
        <v>130</v>
      </c>
      <c r="F52" s="106"/>
    </row>
    <row r="53" spans="1:6" x14ac:dyDescent="0.35">
      <c r="A53" s="107" t="s">
        <v>100</v>
      </c>
      <c r="B53" s="108">
        <v>0.71875</v>
      </c>
      <c r="C53" s="108">
        <v>9.375E-2</v>
      </c>
      <c r="D53" s="107"/>
      <c r="E53" s="107" t="s">
        <v>130</v>
      </c>
      <c r="F53" s="106"/>
    </row>
    <row r="54" spans="1:6" x14ac:dyDescent="0.35">
      <c r="A54" s="107" t="s">
        <v>97</v>
      </c>
      <c r="B54" s="108">
        <v>0.80208333333333337</v>
      </c>
      <c r="C54" s="108">
        <v>0.26041666666666669</v>
      </c>
      <c r="D54" s="107"/>
      <c r="E54" s="107" t="s">
        <v>130</v>
      </c>
      <c r="F54" s="106"/>
    </row>
    <row r="55" spans="1:6" x14ac:dyDescent="0.35">
      <c r="A55" s="107" t="s">
        <v>80</v>
      </c>
      <c r="B55" s="108">
        <v>0.67708333333333337</v>
      </c>
      <c r="C55" s="108">
        <v>5.2083333333333336E-2</v>
      </c>
      <c r="D55" s="107"/>
      <c r="E55" s="107" t="s">
        <v>130</v>
      </c>
      <c r="F55" s="106"/>
    </row>
    <row r="56" spans="1:6" x14ac:dyDescent="0.35">
      <c r="A56" s="107" t="s">
        <v>81</v>
      </c>
      <c r="B56" s="108">
        <v>0.83333333333333337</v>
      </c>
      <c r="C56" s="108">
        <v>0.29166666666666669</v>
      </c>
      <c r="D56" s="107"/>
      <c r="E56" s="107" t="s">
        <v>130</v>
      </c>
      <c r="F56" s="106"/>
    </row>
    <row r="57" spans="1:6" x14ac:dyDescent="0.35">
      <c r="A57" s="107" t="s">
        <v>82</v>
      </c>
      <c r="B57" s="108">
        <v>0.72916666666666663</v>
      </c>
      <c r="C57" s="108">
        <v>0.1875</v>
      </c>
      <c r="D57" s="107"/>
      <c r="E57" s="107" t="s">
        <v>130</v>
      </c>
      <c r="F57" s="106"/>
    </row>
    <row r="58" spans="1:6" x14ac:dyDescent="0.35">
      <c r="A58" s="107" t="s">
        <v>98</v>
      </c>
      <c r="B58" s="108">
        <v>0.70833333333333337</v>
      </c>
      <c r="C58" s="108">
        <v>0.16666666666666666</v>
      </c>
      <c r="D58" s="107"/>
      <c r="E58" s="107" t="s">
        <v>130</v>
      </c>
      <c r="F58" s="106"/>
    </row>
    <row r="59" spans="1:6" x14ac:dyDescent="0.35">
      <c r="A59" s="107" t="s">
        <v>99</v>
      </c>
      <c r="B59" s="108">
        <v>0.6875</v>
      </c>
      <c r="C59" s="108">
        <v>0.14583333333333334</v>
      </c>
      <c r="D59" s="107"/>
      <c r="E59" s="107" t="s">
        <v>130</v>
      </c>
      <c r="F59" s="106"/>
    </row>
    <row r="60" spans="1:6" x14ac:dyDescent="0.35">
      <c r="A60" s="107" t="s">
        <v>83</v>
      </c>
      <c r="B60" s="108">
        <v>0.75</v>
      </c>
      <c r="C60" s="108">
        <v>8.3333333333333329E-2</v>
      </c>
      <c r="D60" s="107"/>
      <c r="E60" s="107" t="s">
        <v>130</v>
      </c>
      <c r="F60" s="106"/>
    </row>
    <row r="61" spans="1:6" x14ac:dyDescent="0.35">
      <c r="A61" s="107" t="s">
        <v>84</v>
      </c>
      <c r="B61" s="108">
        <v>0.73958333333333337</v>
      </c>
      <c r="C61" s="108">
        <v>0.10416666666666667</v>
      </c>
      <c r="D61" s="107"/>
      <c r="E61" s="107" t="s">
        <v>130</v>
      </c>
      <c r="F61" s="106"/>
    </row>
    <row r="62" spans="1:6" x14ac:dyDescent="0.35">
      <c r="A62" s="107" t="s">
        <v>85</v>
      </c>
      <c r="B62" s="108">
        <v>0.70833333333333337</v>
      </c>
      <c r="C62" s="108">
        <v>0.16666666666666666</v>
      </c>
      <c r="D62" s="107"/>
      <c r="E62" s="107" t="s">
        <v>130</v>
      </c>
      <c r="F62" s="106"/>
    </row>
    <row r="63" spans="1:6" x14ac:dyDescent="0.35">
      <c r="A63" s="107" t="s">
        <v>86</v>
      </c>
      <c r="B63" s="108">
        <v>0.82291666666666663</v>
      </c>
      <c r="C63" s="108">
        <v>0.28125</v>
      </c>
      <c r="D63" s="107"/>
      <c r="E63" s="107" t="s">
        <v>130</v>
      </c>
      <c r="F63" s="106"/>
    </row>
    <row r="64" spans="1:6" x14ac:dyDescent="0.35">
      <c r="A64" s="107" t="s">
        <v>87</v>
      </c>
      <c r="B64" s="108">
        <v>0.70833333333333337</v>
      </c>
      <c r="C64" s="108">
        <v>4.1666666666666664E-2</v>
      </c>
      <c r="D64" s="107"/>
      <c r="E64" s="107" t="s">
        <v>130</v>
      </c>
      <c r="F64" s="106"/>
    </row>
    <row r="65" spans="1:6" x14ac:dyDescent="0.35">
      <c r="A65" s="107" t="s">
        <v>51</v>
      </c>
      <c r="B65" s="108">
        <v>0.33333333333333331</v>
      </c>
      <c r="C65" s="108">
        <v>0.75</v>
      </c>
      <c r="D65" s="107"/>
      <c r="E65" s="107" t="s">
        <v>130</v>
      </c>
      <c r="F65" s="106"/>
    </row>
    <row r="66" spans="1:6" x14ac:dyDescent="0.35">
      <c r="A66" s="107" t="s">
        <v>50</v>
      </c>
      <c r="B66" s="108">
        <v>0.41666666666666669</v>
      </c>
      <c r="C66" s="108">
        <v>0.74930555555555556</v>
      </c>
      <c r="D66" s="107" t="s">
        <v>109</v>
      </c>
      <c r="E66" s="107" t="s">
        <v>109</v>
      </c>
      <c r="F66" s="106"/>
    </row>
    <row r="67" spans="1:6" x14ac:dyDescent="0.35">
      <c r="A67" s="107" t="s">
        <v>101</v>
      </c>
      <c r="B67" s="108">
        <v>0.375</v>
      </c>
      <c r="C67" s="108">
        <v>0.61527777777777781</v>
      </c>
      <c r="D67" s="107" t="s">
        <v>109</v>
      </c>
      <c r="E67" s="107" t="s">
        <v>109</v>
      </c>
      <c r="F67" s="106" t="s">
        <v>109</v>
      </c>
    </row>
    <row r="68" spans="1:6" x14ac:dyDescent="0.35">
      <c r="A68" s="107" t="s">
        <v>108</v>
      </c>
      <c r="B68" s="108">
        <v>0.375</v>
      </c>
      <c r="C68" s="108">
        <v>0.66319444444444442</v>
      </c>
      <c r="D68" s="107" t="s">
        <v>109</v>
      </c>
      <c r="E68" s="107" t="s">
        <v>109</v>
      </c>
      <c r="F68" s="106" t="s">
        <v>109</v>
      </c>
    </row>
    <row r="69" spans="1:6" x14ac:dyDescent="0.35">
      <c r="A69" s="107" t="s">
        <v>107</v>
      </c>
      <c r="B69" s="108">
        <v>0.375</v>
      </c>
      <c r="C69" s="108">
        <v>0.70763888888888893</v>
      </c>
      <c r="D69" s="107" t="s">
        <v>109</v>
      </c>
      <c r="E69" s="107" t="s">
        <v>109</v>
      </c>
      <c r="F69" s="106" t="s">
        <v>109</v>
      </c>
    </row>
    <row r="70" spans="1:6" x14ac:dyDescent="0.35">
      <c r="A70" s="109" t="s">
        <v>102</v>
      </c>
      <c r="B70" s="108"/>
      <c r="C70" s="108"/>
      <c r="D70" s="109" t="s">
        <v>109</v>
      </c>
      <c r="E70" s="107" t="s">
        <v>109</v>
      </c>
      <c r="F70" s="106"/>
    </row>
    <row r="71" spans="1:6" x14ac:dyDescent="0.35">
      <c r="A71" s="107" t="s">
        <v>103</v>
      </c>
      <c r="B71" s="108"/>
      <c r="C71" s="108"/>
      <c r="D71" s="109" t="s">
        <v>109</v>
      </c>
      <c r="E71" s="107" t="s">
        <v>109</v>
      </c>
      <c r="F71" s="106"/>
    </row>
    <row r="72" spans="1:6" x14ac:dyDescent="0.35">
      <c r="A72" s="107" t="s">
        <v>104</v>
      </c>
      <c r="B72" s="108"/>
      <c r="C72" s="108"/>
      <c r="D72" s="109" t="s">
        <v>109</v>
      </c>
      <c r="E72" s="107" t="s">
        <v>109</v>
      </c>
      <c r="F72" s="106"/>
    </row>
    <row r="73" spans="1:6" x14ac:dyDescent="0.35">
      <c r="A73" s="107" t="s">
        <v>105</v>
      </c>
      <c r="B73" s="108">
        <v>0.33333333333333331</v>
      </c>
      <c r="C73" s="108">
        <v>0.375</v>
      </c>
      <c r="D73" s="107" t="s">
        <v>109</v>
      </c>
      <c r="E73" s="107" t="s">
        <v>109</v>
      </c>
      <c r="F73" s="106"/>
    </row>
    <row r="74" spans="1:6" x14ac:dyDescent="0.35">
      <c r="A74" s="107" t="s">
        <v>106</v>
      </c>
      <c r="B74" s="108"/>
      <c r="C74" s="108"/>
      <c r="D74" s="107" t="s">
        <v>109</v>
      </c>
      <c r="E74" s="107" t="s">
        <v>109</v>
      </c>
      <c r="F74" s="106"/>
    </row>
    <row r="75" spans="1:6" x14ac:dyDescent="0.35">
      <c r="A75" s="107" t="s">
        <v>111</v>
      </c>
      <c r="B75" s="108">
        <v>0.375</v>
      </c>
      <c r="C75" s="108">
        <v>0.61527777777777781</v>
      </c>
      <c r="D75" s="107" t="s">
        <v>109</v>
      </c>
      <c r="E75" s="107" t="s">
        <v>109</v>
      </c>
      <c r="F75" s="106"/>
    </row>
    <row r="76" spans="1:6" x14ac:dyDescent="0.35">
      <c r="A76" s="107" t="s">
        <v>128</v>
      </c>
      <c r="B76" s="108"/>
      <c r="C76" s="108"/>
      <c r="D76" s="107"/>
      <c r="E76" s="107" t="s">
        <v>109</v>
      </c>
      <c r="F76" s="106"/>
    </row>
  </sheetData>
  <sheetProtection selectLockedCells="1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Données</vt:lpstr>
      <vt:lpstr>Récap Mensuelle</vt:lpstr>
      <vt:lpstr>Récap Annuelle</vt:lpstr>
      <vt:lpstr>Parametres </vt:lpstr>
      <vt:lpstr>'Récap Mensuelle'!Criteres</vt:lpstr>
      <vt:lpstr>deb_dimJF</vt:lpstr>
      <vt:lpstr>deb_nuit</vt:lpstr>
      <vt:lpstr>'Récap Mensuelle'!Extraire</vt:lpstr>
      <vt:lpstr>fin_dimJF</vt:lpstr>
      <vt:lpstr>fin_nuit</vt:lpstr>
      <vt:lpstr>JF</vt:lpstr>
      <vt:lpstr>lemois</vt:lpstr>
      <vt:lpstr>Services</vt:lpstr>
      <vt:lpstr>'Récap Mensuelle'!Zone_d_impression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2018-06-04T17:53:00Z</cp:lastPrinted>
  <dcterms:created xsi:type="dcterms:W3CDTF">2017-09-02T09:30:55Z</dcterms:created>
  <dcterms:modified xsi:type="dcterms:W3CDTF">2018-06-04T18:00:32Z</dcterms:modified>
</cp:coreProperties>
</file>