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610"/>
  </bookViews>
  <sheets>
    <sheet name="Données" sheetId="3" r:id="rId1"/>
    <sheet name="Test2" sheetId="8" state="hidden" r:id="rId2"/>
    <sheet name="Test1" sheetId="7" state="hidden" r:id="rId3"/>
    <sheet name="Synthèse" sheetId="6" r:id="rId4"/>
    <sheet name="JoursFériés" sheetId="5" r:id="rId5"/>
    <sheet name="Paramètres" sheetId="2" r:id="rId6"/>
  </sheets>
  <definedNames>
    <definedName name="DebNuit">Paramètres!$B$2</definedName>
    <definedName name="FinNuit">Paramètres!$B$1</definedName>
    <definedName name="JF">JoursFériés!$B$2:$Q$13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52511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3" l="1"/>
  <c r="K5" i="3"/>
  <c r="K8" i="3"/>
  <c r="K12" i="3"/>
  <c r="B2" i="8" a="1"/>
  <c r="B2" i="8" s="1"/>
  <c r="B3" i="8" a="1"/>
  <c r="B3" i="8"/>
  <c r="B4" i="8" a="1"/>
  <c r="B4" i="8" s="1"/>
  <c r="B5" i="8" a="1"/>
  <c r="B5" i="8" s="1"/>
  <c r="B6" i="8" a="1"/>
  <c r="B6" i="8" s="1"/>
  <c r="B7" i="8" a="1"/>
  <c r="B7" i="8" s="1"/>
  <c r="B8" i="8" a="1"/>
  <c r="B8" i="8" s="1"/>
  <c r="B1" i="8" a="1"/>
  <c r="B1" i="8" s="1"/>
  <c r="G2" i="7" l="1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O2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T5" i="3" l="1"/>
  <c r="T12" i="3"/>
  <c r="T8" i="3"/>
  <c r="T2" i="3"/>
  <c r="C3" i="7"/>
  <c r="C2" i="7"/>
  <c r="H2" i="3"/>
  <c r="H3" i="3"/>
  <c r="H4" i="3"/>
  <c r="H5" i="3"/>
  <c r="H6" i="3"/>
  <c r="H7" i="3"/>
  <c r="I7" i="3" s="1"/>
  <c r="H8" i="3"/>
  <c r="H9" i="3"/>
  <c r="H10" i="3"/>
  <c r="H11" i="3"/>
  <c r="H12" i="3"/>
  <c r="I12" i="3" s="1"/>
  <c r="H13" i="3"/>
  <c r="H14" i="3"/>
  <c r="L3" i="3"/>
  <c r="L2" i="3"/>
  <c r="L5" i="3"/>
  <c r="L8" i="3"/>
  <c r="L12" i="3"/>
  <c r="L13" i="3" l="1"/>
  <c r="I13" i="3"/>
  <c r="S8" i="3"/>
  <c r="R8" i="3" s="1"/>
  <c r="I8" i="3"/>
  <c r="L4" i="3"/>
  <c r="I4" i="3"/>
  <c r="L9" i="3"/>
  <c r="V9" i="3" s="1"/>
  <c r="W9" i="3" s="1"/>
  <c r="I9" i="3"/>
  <c r="L11" i="3"/>
  <c r="I11" i="3"/>
  <c r="I3" i="3"/>
  <c r="S5" i="3"/>
  <c r="R5" i="3" s="1"/>
  <c r="I5" i="3"/>
  <c r="L14" i="3"/>
  <c r="I14" i="3"/>
  <c r="L10" i="3"/>
  <c r="I10" i="3"/>
  <c r="L6" i="3"/>
  <c r="I6" i="3"/>
  <c r="S2" i="3"/>
  <c r="R2" i="3" s="1"/>
  <c r="I2" i="3"/>
  <c r="S12" i="3"/>
  <c r="R12" i="3" s="1"/>
  <c r="P2" i="3"/>
  <c r="N2" i="3" s="1"/>
  <c r="L7" i="3"/>
  <c r="X12" i="3"/>
  <c r="O12" i="3"/>
  <c r="V13" i="3"/>
  <c r="W13" i="3" s="1"/>
  <c r="O8" i="3"/>
  <c r="Z8" i="3"/>
  <c r="J6" i="3" l="1" a="1"/>
  <c r="J6" i="3" s="1"/>
  <c r="K6" i="3" s="1"/>
  <c r="J9" i="3" a="1"/>
  <c r="J9" i="3" s="1"/>
  <c r="K9" i="3" s="1"/>
  <c r="J14" i="3" a="1"/>
  <c r="J14" i="3" s="1"/>
  <c r="K14" i="3" s="1"/>
  <c r="P14" i="3" s="1"/>
  <c r="J8" i="3" a="1"/>
  <c r="J8" i="3" s="1"/>
  <c r="J4" i="3" a="1"/>
  <c r="J4" i="3" s="1"/>
  <c r="K4" i="3" s="1"/>
  <c r="J7" i="3" a="1"/>
  <c r="J7" i="3" s="1"/>
  <c r="K7" i="3" s="1"/>
  <c r="J12" i="3" a="1"/>
  <c r="J12" i="3" s="1"/>
  <c r="J13" i="3" a="1"/>
  <c r="J13" i="3" s="1"/>
  <c r="K13" i="3" s="1"/>
  <c r="O13" i="3" s="1"/>
  <c r="J3" i="3" a="1"/>
  <c r="J3" i="3" s="1"/>
  <c r="K3" i="3" s="1"/>
  <c r="J2" i="3" a="1"/>
  <c r="J2" i="3" s="1"/>
  <c r="J5" i="3" a="1"/>
  <c r="J5" i="3" s="1"/>
  <c r="J10" i="3" a="1"/>
  <c r="J10" i="3" s="1"/>
  <c r="K10" i="3" s="1"/>
  <c r="P10" i="3" s="1"/>
  <c r="J11" i="3" a="1"/>
  <c r="J11" i="3" s="1"/>
  <c r="K11" i="3" s="1"/>
  <c r="P11" i="3" s="1"/>
  <c r="P8" i="3"/>
  <c r="N8" i="3" s="1"/>
  <c r="P13" i="3"/>
  <c r="P9" i="3"/>
  <c r="P12" i="3"/>
  <c r="N12" i="3" s="1"/>
  <c r="O11" i="3"/>
  <c r="Y12" i="3"/>
  <c r="U12" i="3"/>
  <c r="V14" i="3"/>
  <c r="W14" i="3" s="1"/>
  <c r="Z12" i="3"/>
  <c r="O9" i="3"/>
  <c r="V11" i="3"/>
  <c r="W11" i="3" s="1"/>
  <c r="U8" i="3"/>
  <c r="X8" i="3"/>
  <c r="Y8" i="3"/>
  <c r="V10" i="3"/>
  <c r="W10" i="3" s="1"/>
  <c r="O10" i="3" l="1"/>
  <c r="N10" i="3" s="1"/>
  <c r="T14" i="3"/>
  <c r="S14" i="3"/>
  <c r="R14" i="3" s="1"/>
  <c r="O14" i="3"/>
  <c r="Z14" i="3" s="1"/>
  <c r="T11" i="3"/>
  <c r="R11" i="3" s="1"/>
  <c r="S11" i="3"/>
  <c r="T3" i="3"/>
  <c r="S3" i="3"/>
  <c r="R3" i="3" s="1"/>
  <c r="T7" i="3"/>
  <c r="S7" i="3"/>
  <c r="T9" i="3"/>
  <c r="S9" i="3"/>
  <c r="Z9" i="3" s="1"/>
  <c r="T10" i="3"/>
  <c r="S10" i="3"/>
  <c r="T13" i="3"/>
  <c r="S13" i="3"/>
  <c r="T4" i="3"/>
  <c r="S4" i="3"/>
  <c r="R4" i="3" s="1"/>
  <c r="T6" i="3"/>
  <c r="S6" i="3"/>
  <c r="N11" i="3"/>
  <c r="N13" i="3"/>
  <c r="N9" i="3"/>
  <c r="AA12" i="3"/>
  <c r="AA8" i="3"/>
  <c r="N14" i="3" l="1"/>
  <c r="R7" i="3"/>
  <c r="Z10" i="3"/>
  <c r="R13" i="3"/>
  <c r="R9" i="3"/>
  <c r="Z13" i="3"/>
  <c r="Z11" i="3"/>
  <c r="R10" i="3"/>
  <c r="R6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G3" i="5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F4" i="5"/>
  <c r="G4" i="5"/>
  <c r="N4" i="5"/>
  <c r="O4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F7" i="5"/>
  <c r="G7" i="5"/>
  <c r="J7" i="5"/>
  <c r="K7" i="5"/>
  <c r="F8" i="5"/>
  <c r="G8" i="5"/>
  <c r="H8" i="5"/>
  <c r="J8" i="5"/>
  <c r="N8" i="5"/>
  <c r="O8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K4" i="5" l="1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B8" i="5" l="1"/>
  <c r="B4" i="5"/>
  <c r="Q10" i="3" s="1"/>
  <c r="B7" i="5"/>
  <c r="M14" i="3" l="1"/>
  <c r="Q11" i="3"/>
  <c r="Q12" i="3"/>
  <c r="M9" i="3"/>
  <c r="M10" i="3"/>
  <c r="X10" i="3" s="1"/>
  <c r="M13" i="3"/>
  <c r="Q8" i="3"/>
  <c r="Q14" i="3"/>
  <c r="M8" i="3"/>
  <c r="M11" i="3"/>
  <c r="Q9" i="3"/>
  <c r="Q13" i="3"/>
  <c r="M12" i="3"/>
  <c r="M2" i="3"/>
  <c r="M3" i="3"/>
  <c r="M4" i="3"/>
  <c r="M5" i="3"/>
  <c r="M6" i="3"/>
  <c r="M7" i="3"/>
  <c r="Y10" i="3" l="1"/>
  <c r="AA10" i="3" s="1"/>
  <c r="Q5" i="3"/>
  <c r="P5" i="3"/>
  <c r="Q7" i="3"/>
  <c r="P7" i="3"/>
  <c r="Q3" i="3"/>
  <c r="P3" i="3"/>
  <c r="Y9" i="3"/>
  <c r="X9" i="3"/>
  <c r="Q4" i="3"/>
  <c r="P4" i="3"/>
  <c r="Q6" i="3"/>
  <c r="P6" i="3"/>
  <c r="Q2" i="3"/>
  <c r="X13" i="3"/>
  <c r="Y13" i="3"/>
  <c r="X14" i="3"/>
  <c r="Y14" i="3"/>
  <c r="Y11" i="3"/>
  <c r="X11" i="3"/>
  <c r="O5" i="3"/>
  <c r="V3" i="3"/>
  <c r="W3" i="3" s="1"/>
  <c r="V4" i="3"/>
  <c r="W4" i="3" s="1"/>
  <c r="V6" i="3"/>
  <c r="W6" i="3" s="1"/>
  <c r="V7" i="3"/>
  <c r="W7" i="3" s="1"/>
  <c r="O3" i="3"/>
  <c r="O7" i="3"/>
  <c r="AA11" i="3" l="1"/>
  <c r="AA13" i="3"/>
  <c r="AA9" i="3"/>
  <c r="N3" i="3"/>
  <c r="N7" i="3"/>
  <c r="AA14" i="3"/>
  <c r="N5" i="3"/>
  <c r="U13" i="3"/>
  <c r="U14" i="3"/>
  <c r="U9" i="3"/>
  <c r="U11" i="3"/>
  <c r="U10" i="3"/>
  <c r="Z5" i="3"/>
  <c r="U5" i="3"/>
  <c r="U2" i="3"/>
  <c r="U6" i="3"/>
  <c r="U3" i="3"/>
  <c r="U7" i="3"/>
  <c r="U4" i="3"/>
  <c r="X2" i="3"/>
  <c r="Z2" i="3"/>
  <c r="Y5" i="3"/>
  <c r="X5" i="3"/>
  <c r="O4" i="3"/>
  <c r="N4" i="3" s="1"/>
  <c r="O6" i="3"/>
  <c r="N6" i="3" s="1"/>
  <c r="Y2" i="3"/>
  <c r="AA5" i="3" l="1"/>
  <c r="AA2" i="3"/>
  <c r="Z4" i="3"/>
  <c r="Z3" i="3"/>
  <c r="Z6" i="3"/>
  <c r="Z7" i="3"/>
  <c r="X7" i="3"/>
  <c r="X6" i="3"/>
  <c r="X4" i="3"/>
  <c r="X3" i="3" l="1"/>
  <c r="Y3" i="3"/>
  <c r="Y4" i="3"/>
  <c r="AA4" i="3" s="1"/>
  <c r="Y7" i="3"/>
  <c r="AA7" i="3" s="1"/>
  <c r="Y6" i="3"/>
  <c r="AA6" i="3" s="1"/>
  <c r="V12" i="3" l="1"/>
  <c r="W12" i="3" s="1"/>
  <c r="V8" i="3"/>
  <c r="W8" i="3" s="1"/>
  <c r="AA3" i="3"/>
  <c r="V2" i="3"/>
  <c r="W2" i="3" s="1"/>
  <c r="V5" i="3"/>
  <c r="W5" i="3" s="1"/>
</calcChain>
</file>

<file path=xl/comments1.xml><?xml version="1.0" encoding="utf-8"?>
<comments xmlns="http://schemas.openxmlformats.org/spreadsheetml/2006/main">
  <authors>
    <author>Auteur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<sst xmlns="http://schemas.openxmlformats.org/spreadsheetml/2006/main" count="85" uniqueCount="67">
  <si>
    <t>Date</t>
  </si>
  <si>
    <t>Motif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</si>
  <si>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</si>
  <si>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</si>
  <si>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</si>
  <si>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</si>
  <si>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</si>
  <si>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</si>
  <si>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</si>
  <si>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</si>
  <si>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</si>
  <si>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</si>
  <si>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</si>
  <si>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</si>
  <si>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</si>
  <si>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</si>
  <si>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</si>
  <si>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</si>
  <si>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</si>
  <si>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</si>
  <si>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</si>
  <si>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</si>
  <si>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</si>
  <si>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</si>
  <si>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</si>
  <si>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</si>
  <si>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</si>
  <si>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</si>
  <si>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</si>
  <si>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</si>
  <si>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</si>
  <si>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</si>
  <si>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</si>
  <si>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</si>
  <si>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</si>
  <si>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</si>
  <si>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Total général</t>
  </si>
  <si>
    <t>Montant Garde</t>
  </si>
  <si>
    <t>Montant Interv.</t>
  </si>
  <si>
    <t>Somme de Montant Interv.</t>
  </si>
  <si>
    <t>Valeurs</t>
  </si>
  <si>
    <t>Somme de Montant Garde</t>
  </si>
  <si>
    <t>Années</t>
  </si>
  <si>
    <t>Mois</t>
  </si>
  <si>
    <t>2018</t>
  </si>
  <si>
    <t>mai</t>
  </si>
  <si>
    <t>26-mai</t>
  </si>
  <si>
    <t>juin</t>
  </si>
  <si>
    <t>20-juin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</si>
  <si>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</si>
  <si>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</si>
  <si>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</si>
  <si>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</si>
  <si>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</si>
  <si>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</si>
  <si>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</si>
  <si>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</si>
  <si>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janv</t>
  </si>
  <si>
    <t>01-janv</t>
  </si>
  <si>
    <t>juil</t>
  </si>
  <si>
    <t>14-juil</t>
  </si>
  <si>
    <t>Somme de Total</t>
  </si>
  <si>
    <t>Hdébut garde</t>
  </si>
  <si>
    <t>Hfin garde</t>
  </si>
  <si>
    <t>Garde / Interv.</t>
  </si>
  <si>
    <t>Prochaine interv.</t>
  </si>
  <si>
    <t>Date Heure Interv.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</si>
</sst>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#,##0.00\ &quot;€&quot;"/>
    <numFmt numFmtId="170" formatCode="d\ * hh:mm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i/>
      <sz val="11"/>
      <color theme="0" tint="-0.499984740745262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i/>
      <sz val="11"/>
      <color theme="0" tint="-0.499984740745262"/>
      <name val="Calibri"/>
      <scheme val="minor"/>
    </font>
    <font>
      <i/>
      <sz val="11"/>
      <color theme="0" tint="-0.34998626667073579"/>
      <name val="Calibri"/>
      <scheme val="minor"/>
    </font>
    <font>
      <i/>
      <sz val="11"/>
      <name val="Calibri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66">
    <xf numFmtId="0" fontId="0" fillId="0" borderId="0" xfId="0"/>
    <xf numFmtId="164" fontId="5" fillId="0" borderId="0" xfId="4" applyNumberFormat="1"/>
    <xf numFmtId="166" fontId="0" fillId="0" borderId="0" xfId="0" applyNumberFormat="1"/>
    <xf numFmtId="167" fontId="0" fillId="0" borderId="0" xfId="0" applyNumberFormat="1"/>
    <xf numFmtId="166" fontId="9" fillId="0" borderId="0" xfId="0" applyNumberFormat="1" applyFont="1"/>
    <xf numFmtId="44" fontId="9" fillId="0" borderId="0" xfId="1" applyFont="1"/>
    <xf numFmtId="168" fontId="9" fillId="0" borderId="0" xfId="0" applyNumberFormat="1" applyFont="1"/>
    <xf numFmtId="166" fontId="14" fillId="0" borderId="0" xfId="0" applyNumberFormat="1" applyFont="1" applyAlignment="1">
      <alignment vertical="center" wrapText="1"/>
    </xf>
    <xf numFmtId="44" fontId="14" fillId="0" borderId="0" xfId="1" applyFont="1" applyAlignment="1">
      <alignment vertical="center" wrapText="1"/>
    </xf>
    <xf numFmtId="0" fontId="9" fillId="0" borderId="0" xfId="0" applyFont="1" applyAlignment="1"/>
    <xf numFmtId="166" fontId="10" fillId="0" borderId="0" xfId="0" applyNumberFormat="1" applyFont="1" applyBorder="1" applyAlignment="1"/>
    <xf numFmtId="166" fontId="13" fillId="0" borderId="0" xfId="0" applyNumberFormat="1" applyFont="1" applyAlignment="1"/>
    <xf numFmtId="44" fontId="13" fillId="0" borderId="0" xfId="1" applyFont="1" applyAlignment="1"/>
    <xf numFmtId="0" fontId="0" fillId="0" borderId="0" xfId="0" applyAlignment="1"/>
    <xf numFmtId="0" fontId="15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0" borderId="0" xfId="0" pivotButton="1"/>
    <xf numFmtId="44" fontId="15" fillId="0" borderId="0" xfId="1" applyFont="1" applyAlignment="1"/>
    <xf numFmtId="2" fontId="0" fillId="0" borderId="0" xfId="0" applyNumberFormat="1"/>
    <xf numFmtId="169" fontId="0" fillId="0" borderId="0" xfId="0" applyNumberFormat="1"/>
    <xf numFmtId="0" fontId="3" fillId="0" borderId="0" xfId="4" applyFont="1" applyFill="1"/>
    <xf numFmtId="0" fontId="16" fillId="0" borderId="0" xfId="0" applyFont="1" applyFill="1" applyBorder="1" applyAlignment="1">
      <alignment horizontal="center"/>
    </xf>
    <xf numFmtId="0" fontId="0" fillId="0" borderId="0" xfId="0" applyFill="1"/>
    <xf numFmtId="167" fontId="0" fillId="0" borderId="0" xfId="0" applyNumberFormat="1" applyAlignment="1">
      <alignment horizontal="center" vertical="center"/>
    </xf>
    <xf numFmtId="0" fontId="17" fillId="0" borderId="0" xfId="0" applyFont="1" applyAlignment="1"/>
    <xf numFmtId="0" fontId="17" fillId="0" borderId="0" xfId="0" applyNumberFormat="1" applyFont="1" applyAlignment="1"/>
    <xf numFmtId="166" fontId="18" fillId="0" borderId="0" xfId="0" applyNumberFormat="1" applyFont="1" applyAlignment="1"/>
    <xf numFmtId="166" fontId="19" fillId="0" borderId="0" xfId="0" applyNumberFormat="1" applyFont="1" applyAlignment="1"/>
    <xf numFmtId="44" fontId="19" fillId="0" borderId="0" xfId="1" applyNumberFormat="1" applyFont="1" applyAlignment="1"/>
    <xf numFmtId="166" fontId="19" fillId="0" borderId="0" xfId="1" applyNumberFormat="1" applyFont="1" applyAlignment="1"/>
    <xf numFmtId="166" fontId="19" fillId="0" borderId="0" xfId="0" quotePrefix="1" applyNumberFormat="1" applyFont="1" applyAlignment="1"/>
    <xf numFmtId="166" fontId="20" fillId="0" borderId="0" xfId="0" applyNumberFormat="1" applyFont="1"/>
    <xf numFmtId="44" fontId="0" fillId="0" borderId="0" xfId="0" applyNumberFormat="1"/>
    <xf numFmtId="167" fontId="0" fillId="0" borderId="0" xfId="0" applyNumberFormat="1" applyFill="1"/>
    <xf numFmtId="0" fontId="0" fillId="0" borderId="0" xfId="0" applyFill="1" applyAlignment="1">
      <alignment horizontal="center" vertical="center"/>
    </xf>
    <xf numFmtId="166" fontId="20" fillId="0" borderId="0" xfId="0" applyNumberFormat="1" applyFont="1" applyFill="1"/>
    <xf numFmtId="0" fontId="9" fillId="0" borderId="0" xfId="0" applyFont="1" applyFill="1" applyAlignment="1"/>
    <xf numFmtId="166" fontId="10" fillId="0" borderId="0" xfId="0" applyNumberFormat="1" applyFont="1" applyFill="1" applyBorder="1" applyAlignment="1"/>
    <xf numFmtId="166" fontId="13" fillId="0" borderId="0" xfId="0" applyNumberFormat="1" applyFont="1" applyFill="1" applyAlignment="1"/>
    <xf numFmtId="44" fontId="13" fillId="0" borderId="0" xfId="1" applyFont="1" applyFill="1" applyAlignment="1"/>
    <xf numFmtId="170" fontId="14" fillId="0" borderId="0" xfId="0" applyNumberFormat="1" applyFont="1" applyAlignment="1">
      <alignment vertical="center" wrapText="1"/>
    </xf>
    <xf numFmtId="170" fontId="9" fillId="0" borderId="0" xfId="0" applyNumberFormat="1" applyFont="1"/>
    <xf numFmtId="170" fontId="9" fillId="0" borderId="0" xfId="0" applyNumberFormat="1" applyFont="1" applyFill="1"/>
    <xf numFmtId="170" fontId="22" fillId="0" borderId="0" xfId="0" applyNumberFormat="1" applyFont="1"/>
    <xf numFmtId="167" fontId="21" fillId="0" borderId="0" xfId="0" applyNumberFormat="1" applyFont="1" applyAlignment="1">
      <alignment vertical="center" wrapText="1"/>
    </xf>
    <xf numFmtId="0" fontId="21" fillId="0" borderId="0" xfId="0" applyFont="1" applyAlignment="1">
      <alignment vertical="center" wrapText="1"/>
    </xf>
    <xf numFmtId="166" fontId="21" fillId="0" borderId="0" xfId="0" applyNumberFormat="1" applyFont="1" applyAlignment="1">
      <alignment vertical="center" wrapText="1"/>
    </xf>
    <xf numFmtId="0" fontId="14" fillId="0" borderId="0" xfId="0" applyFont="1" applyAlignment="1">
      <alignment vertical="center" wrapText="1"/>
    </xf>
    <xf numFmtId="166" fontId="14" fillId="0" borderId="0" xfId="0" applyNumberFormat="1" applyFont="1" applyBorder="1" applyAlignment="1">
      <alignment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/>
    <xf numFmtId="170" fontId="15" fillId="0" borderId="0" xfId="0" applyNumberFormat="1" applyFont="1"/>
    <xf numFmtId="166" fontId="15" fillId="0" borderId="0" xfId="0" applyNumberFormat="1" applyFont="1" applyBorder="1" applyAlignment="1"/>
    <xf numFmtId="166" fontId="15" fillId="0" borderId="0" xfId="0" applyNumberFormat="1" applyFont="1" applyAlignment="1"/>
    <xf numFmtId="166" fontId="15" fillId="0" borderId="0" xfId="0" applyNumberFormat="1" applyFont="1"/>
    <xf numFmtId="44" fontId="15" fillId="0" borderId="0" xfId="1" applyFont="1"/>
    <xf numFmtId="170" fontId="21" fillId="0" borderId="0" xfId="0" applyNumberFormat="1" applyFont="1" applyAlignment="1">
      <alignment vertical="center" wrapText="1"/>
    </xf>
    <xf numFmtId="166" fontId="21" fillId="0" borderId="0" xfId="0" applyNumberFormat="1" applyFont="1" applyBorder="1" applyAlignment="1">
      <alignment vertical="center" wrapText="1"/>
    </xf>
  </cellXfs>
  <cellStyles count="13">
    <cellStyle name="Excel Built-in Normal" xfId="6"/>
    <cellStyle name="Monétaire" xfId="1" builtinId="4"/>
    <cellStyle name="Normal" xfId="0" builtinId="0"/>
    <cellStyle name="Normal 2" xfId="7"/>
    <cellStyle name="Normal 2 2" xfId="8"/>
    <cellStyle name="Normal 2 3" xfId="4"/>
    <cellStyle name="Normal 3" xfId="9"/>
    <cellStyle name="Normal 4" xfId="10"/>
    <cellStyle name="Normal 5" xfId="11"/>
    <cellStyle name="Normal 6" xfId="5"/>
    <cellStyle name="Normal 7" xfId="12"/>
    <cellStyle name="Normal 8" xfId="2"/>
    <cellStyle name="Texte explicatif 2" xfId="3"/>
  </cellStyles>
  <dxfs count="38"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70" formatCode="d\ * hh: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70" formatCode="d\ * hh: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70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0" formatCode="General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499984740745262"/>
        <name val="Calibri"/>
        <scheme val="minor"/>
      </font>
      <numFmt numFmtId="170" formatCode="d\ * hh:mm"/>
    </dxf>
    <dxf>
      <numFmt numFmtId="166" formatCode="[hh]:mm"/>
    </dxf>
    <dxf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numFmt numFmtId="167" formatCode="ddd\ dd\-mmm\-yyyy"/>
    </dxf>
    <dxf>
      <numFmt numFmtId="167" formatCode="ddd\ dd\-mmm\-yyyy"/>
      <alignment horizontal="center" vertical="center" textRotation="0" wrapText="0" indent="0" justifyLastLine="0" shrinkToFit="0" readingOrder="0"/>
    </dxf>
    <dxf>
      <numFmt numFmtId="167" formatCode="ddd\ dd\-mmm\-yyyy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%20de%20garde%20suivi%20v2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50.488993749997" createdVersion="5" refreshedVersion="5" minRefreshableVersion="3" recordCount="13">
  <cacheSource type="worksheet">
    <worksheetSource name="data" r:id="rId2"/>
  </cacheSource>
  <cacheFields count="29">
    <cacheField name="Date" numFmtId="167">
      <sharedItems containsSemiMixedTypes="0" containsNonDate="0" containsDate="1" containsString="0" minDate="2018-01-01T00:00:00" maxDate="2018-07-15T00:00:00" count="4">
        <d v="2018-05-26T00:00:00"/>
        <d v="2018-06-20T00:00:00"/>
        <d v="2018-01-01T00:00:00"/>
        <d v="2018-07-14T00:00:00"/>
      </sharedItems>
      <fieldGroup par="27" base="0">
        <rangePr groupBy="days" startDate="2018-01-01T00:00:00" endDate="2018-07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7/2018"/>
        </groupItems>
      </fieldGroup>
    </cacheField>
    <cacheField name="Véhicule" numFmtId="0">
      <sharedItems containsBlank="1"/>
    </cacheField>
    <cacheField name="Motif" numFmtId="0">
      <sharedItems containsNonDate="0" containsString="0" containsBlank="1"/>
    </cacheField>
    <cacheField name="Hdébut garde" numFmtId="166">
      <sharedItems containsNonDate="0" containsDate="1" containsString="0" containsBlank="1" minDate="1899-12-30T08:00:00" maxDate="1899-12-30T12:00:00"/>
    </cacheField>
    <cacheField name="Hfin garde" numFmtId="166">
      <sharedItems containsNonDate="0" containsDate="1" containsString="0" containsBlank="1" minDate="1899-12-30T08:00:00" maxDate="1899-12-30T08:00:00"/>
    </cacheField>
    <cacheField name="Hdébut interv." numFmtId="166">
      <sharedItems containsNonDate="0" containsDate="1" containsString="0" containsBlank="1" minDate="1899-12-30T03:30:00" maxDate="1899-12-30T21:00:00"/>
    </cacheField>
    <cacheField name="Hfin Interv." numFmtId="166">
      <sharedItems containsNonDate="0" containsDate="1" containsString="0" containsBlank="1" minDate="1899-12-30T01:04:00" maxDate="1899-12-30T23:58:00"/>
    </cacheField>
    <cacheField name="Hdébut corrigé" numFmtId="170">
      <sharedItems containsSemiMixedTypes="0" containsNonDate="0" containsDate="1" containsString="0" minDate="1899-12-30T08:00:00" maxDate="1899-12-31T03:30:00"/>
    </cacheField>
    <cacheField name="Prochaine interv." numFmtId="170">
      <sharedItems containsSemiMixedTypes="0" containsNonDate="0" containsDate="1" containsString="0" minDate="1900-01-07T00:00:00" maxDate="1900-01-13T00:00:00"/>
    </cacheField>
    <cacheField name="Hfin corrigée" numFmtId="170">
      <sharedItems containsSemiMixedTypes="0" containsNonDate="0" containsDate="1" containsString="0" minDate="1899-12-30T13:45:00" maxDate="1899-12-31T08:00:00"/>
    </cacheField>
    <cacheField name="Garde / Interv." numFmtId="0">
      <sharedItems/>
    </cacheField>
    <cacheField name="Début Dim ou Férié" numFmtId="0">
      <sharedItems/>
    </cacheField>
    <cacheField name="JOUR1" numFmtId="166">
      <sharedItems containsSemiMixedTypes="0" containsNonDate="0" containsDate="1" containsString="0" minDate="1899-12-30T00:00:00" maxDate="1899-12-30T14:00:00"/>
    </cacheField>
    <cacheField name="NUIT1.1" numFmtId="166">
      <sharedItems containsSemiMixedTypes="0" containsNonDate="0" containsDate="1" containsString="0" minDate="1899-12-30T00:00:00" maxDate="1899-12-31T00:00:00"/>
    </cacheField>
    <cacheField name="NUIT1.2" numFmtId="166">
      <sharedItems containsSemiMixedTypes="0" containsNonDate="0" containsDate="1" containsString="0" minDate="1899-12-30T00:00:00" maxDate="1899-12-30T02:00:00"/>
    </cacheField>
    <cacheField name="Fin Dim ou Férié" numFmtId="0">
      <sharedItems/>
    </cacheField>
    <cacheField name="JOUR2" numFmtId="166">
      <sharedItems containsSemiMixedTypes="0" containsNonDate="0" containsDate="1" containsString="0" minDate="1899-12-30T00:00:00" maxDate="1899-12-30T01:00:00"/>
    </cacheField>
    <cacheField name="NUIT2.1" numFmtId="166">
      <sharedItems containsSemiMixedTypes="0" containsNonDate="0" containsDate="1" containsString="0" minDate="1899-12-30T00:00:00" maxDate="1899-12-30T07:00:00"/>
    </cacheField>
    <cacheField name="NUIT2.2" numFmtId="166">
      <sharedItems containsSemiMixedTypes="0" containsNonDate="0" containsDate="1" containsString="0" minDate="1899-12-30T00:00:00" maxDate="1899-12-31T00:00:00"/>
    </cacheField>
    <cacheField name="Interv. hors poste" numFmtId="166">
      <sharedItems containsSemiMixedTypes="0" containsNonDate="0" containsDate="1" containsString="0" minDate="1899-12-30T00:00:00" maxDate="1899-12-31T00:00:00"/>
    </cacheField>
    <cacheField name="Durée sans interv." numFmtId="166">
      <sharedItems containsSemiMixedTypes="0" containsNonDate="0" containsDate="1" containsString="0" minDate="1899-12-30T00:00:00" maxDate="1899-12-30T14:50:00"/>
    </cacheField>
    <cacheField name="Montant Garde" numFmtId="44">
      <sharedItems containsSemiMixedTypes="0" containsString="0" containsNumber="1" minValue="0" maxValue="44.5"/>
    </cacheField>
    <cacheField name="Durée interv. jour" numFmtId="166">
      <sharedItems containsSemiMixedTypes="0" containsNonDate="0" containsDate="1" containsString="0" minDate="1899-12-30T00:00:00" maxDate="1899-12-31T00:00:00"/>
    </cacheField>
    <cacheField name="Durée interv. dim ou férié" numFmtId="166">
      <sharedItems containsSemiMixedTypes="0" containsNonDate="0" containsDate="1" containsString="0" minDate="1899-12-30T00:00:00" maxDate="1899-12-31T00:00:00"/>
    </cacheField>
    <cacheField name="Durée interv. nuit" numFmtId="166">
      <sharedItems containsSemiMixedTypes="0" containsNonDate="0" containsDate="1" containsString="0" minDate="1899-12-30T00:00:00" maxDate="1899-12-31T00:00:00"/>
    </cacheField>
    <cacheField name="Montant Interv." numFmtId="44">
      <sharedItems containsSemiMixedTypes="0" containsString="0" containsNumber="1" minValue="0" maxValue="58.666666666666622"/>
    </cacheField>
    <cacheField name="Mois" numFmtId="0" databaseField="0">
      <fieldGroup base="0">
        <rangePr groupBy="months" startDate="2018-01-01T00:00:00" endDate="2018-07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7/2018"/>
        </groupItems>
      </fieldGroup>
    </cacheField>
    <cacheField name="Années" numFmtId="0" databaseField="0">
      <fieldGroup base="0">
        <rangePr groupBy="years" startDate="2018-01-01T00:00:00" endDate="2018-07-15T00:00:00"/>
        <groupItems count="3">
          <s v="&lt;01/01/2018"/>
          <s v="2018"/>
          <s v="&gt;15/07/2018"/>
        </groupItems>
      </fieldGroup>
    </cacheField>
    <cacheField name="Total" numFmtId="0" formula="'Montant Garde'+'Montant Interv.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d v="1899-12-30T12:00:00"/>
    <d v="1899-12-30T08:00:00"/>
    <m/>
    <m/>
    <d v="1899-12-30T12:00:00"/>
    <d v="1900-01-09T00:00:00"/>
    <d v="1899-12-31T08:00:00"/>
    <s v="Garde"/>
    <s v="non"/>
    <d v="1899-12-30T10:00:00"/>
    <d v="1899-12-30T00:00:00"/>
    <d v="1899-12-30T02:00:00"/>
    <s v="oui"/>
    <d v="1899-12-30T01:00:00"/>
    <d v="1899-12-30T07:00:00"/>
    <d v="1899-12-30T00:00:00"/>
    <d v="1899-12-30T00:00:00"/>
    <d v="1899-12-30T12:35:00"/>
    <n v="37.75"/>
    <d v="1899-12-30T00:00:00"/>
    <d v="1899-12-30T00:00:00"/>
    <d v="1899-12-30T00:00:00"/>
    <n v="0"/>
  </r>
  <r>
    <x v="0"/>
    <s v="VSAV"/>
    <m/>
    <m/>
    <m/>
    <d v="1899-12-30T21:00:00"/>
    <d v="1899-12-30T01:04:00"/>
    <d v="1899-12-30T21:00:00"/>
    <d v="1900-01-09T00:00:00"/>
    <d v="1899-12-31T01:15:00"/>
    <s v="Intervention"/>
    <s v="non"/>
    <d v="1899-12-30T01:00:00"/>
    <d v="1899-12-30T00:00:00"/>
    <d v="1899-12-30T02:00:00"/>
    <s v="oui"/>
    <d v="1899-12-30T00:00:00"/>
    <d v="1899-12-30T01:15:00"/>
    <d v="1899-12-30T00:00:00"/>
    <d v="1899-12-30T00:00:00"/>
    <d v="1899-12-30T00:00:00"/>
    <n v="0"/>
    <d v="1899-12-30T01:00:00"/>
    <d v="1899-12-30T00:00:00"/>
    <d v="1899-12-30T03:15:00"/>
    <n v="23.499999999999989"/>
  </r>
  <r>
    <x v="0"/>
    <s v="CCF"/>
    <m/>
    <m/>
    <m/>
    <d v="1899-12-30T12:20:00"/>
    <d v="1899-12-30T15:26:00"/>
    <d v="1899-12-30T12:20:00"/>
    <d v="1900-01-09T00:00:00"/>
    <d v="1899-12-30T15:30:00"/>
    <s v="Intervention"/>
    <s v="non"/>
    <d v="1899-12-30T03:10:00"/>
    <d v="1899-12-30T00:00:00"/>
    <d v="1899-12-30T00:00:00"/>
    <s v="non"/>
    <d v="1899-12-30T00:00:00"/>
    <d v="1899-12-30T00:00:00"/>
    <d v="1899-12-30T00:00:00"/>
    <d v="1899-12-30T00:00:00"/>
    <d v="1899-12-30T00:00:00"/>
    <n v="0"/>
    <d v="1899-12-30T03:10:00"/>
    <d v="1899-12-30T00:00:00"/>
    <d v="1899-12-30T00:00:00"/>
    <n v="12.666666666666664"/>
  </r>
  <r>
    <x v="1"/>
    <m/>
    <m/>
    <d v="1899-12-30T08:00:00"/>
    <d v="1899-12-30T08:00:00"/>
    <m/>
    <m/>
    <d v="1899-12-30T08:00:00"/>
    <d v="1900-01-09T00:00:00"/>
    <d v="1899-12-31T08:00:00"/>
    <s v="Garde"/>
    <s v="non"/>
    <d v="1899-12-30T14:00:00"/>
    <d v="1899-12-30T00:00:00"/>
    <d v="1899-12-30T02:00:00"/>
    <s v="non"/>
    <d v="1899-12-30T01:00:00"/>
    <d v="1899-12-30T07:00:00"/>
    <d v="1899-12-30T00:00:00"/>
    <d v="1899-12-30T00:00:00"/>
    <d v="1899-12-30T06:20:00"/>
    <n v="19.000000000000014"/>
    <d v="1899-12-30T00:00:00"/>
    <d v="1899-12-30T00:00:00"/>
    <d v="1899-12-30T00:00:00"/>
    <n v="0"/>
  </r>
  <r>
    <x v="1"/>
    <s v="FPTL"/>
    <m/>
    <m/>
    <m/>
    <d v="1899-12-30T10:20:00"/>
    <d v="1899-12-30T23:48:00"/>
    <d v="1899-12-30T10:20:00"/>
    <d v="1900-01-09T00:00:00"/>
    <d v="1899-12-31T00:00:00"/>
    <s v="Intervention"/>
    <s v="non"/>
    <d v="1899-12-30T11:40:00"/>
    <d v="1899-12-30T00:00:00"/>
    <d v="1899-12-30T02:00:00"/>
    <s v="non"/>
    <d v="1899-12-30T00:00:00"/>
    <d v="1899-12-30T00:00:00"/>
    <d v="1899-12-30T00:00:00"/>
    <d v="1899-12-30T00:00:00"/>
    <d v="1899-12-30T00:00:00"/>
    <n v="0"/>
    <d v="1899-12-30T11:40:00"/>
    <d v="1899-12-30T00:00:00"/>
    <d v="1899-12-30T02:00:00"/>
    <n v="58.666666666666622"/>
  </r>
  <r>
    <x v="1"/>
    <s v="VLOD"/>
    <m/>
    <m/>
    <m/>
    <d v="1899-12-30T03:30:00"/>
    <d v="1899-12-30T07:30:00"/>
    <d v="1899-12-31T03:30:00"/>
    <d v="1900-01-09T00:00:00"/>
    <d v="1899-12-31T07:30:00"/>
    <s v="Intervention"/>
    <s v="non"/>
    <d v="1899-12-30T00:00:00"/>
    <d v="1899-12-30T00:00:00"/>
    <d v="1899-12-30T00:00:00"/>
    <s v="non"/>
    <d v="1899-12-30T00:30:00"/>
    <d v="1899-12-30T03:30:00"/>
    <d v="1899-12-30T00:00:00"/>
    <d v="1899-12-30T00:00:00"/>
    <d v="1899-12-30T00:00:00"/>
    <n v="0"/>
    <d v="1899-12-30T00:30:00"/>
    <d v="1899-12-30T00:00:00"/>
    <d v="1899-12-30T03:30:00"/>
    <n v="23.000000000000046"/>
  </r>
  <r>
    <x v="2"/>
    <m/>
    <m/>
    <d v="1899-12-30T08:00:00"/>
    <d v="1899-12-30T08:00:00"/>
    <m/>
    <m/>
    <d v="1899-12-30T08:00:00"/>
    <d v="1900-01-07T00:00:00"/>
    <d v="1899-12-31T08:00:00"/>
    <s v="Garde"/>
    <s v="oui"/>
    <d v="1899-12-30T14:00:00"/>
    <d v="1899-12-30T00:00:00"/>
    <d v="1899-12-30T02:00:00"/>
    <s v="non"/>
    <d v="1899-12-30T01:00:00"/>
    <d v="1899-12-30T07:00:00"/>
    <d v="1899-12-30T00:00:00"/>
    <d v="1899-12-30T00:00:00"/>
    <d v="1899-12-30T12:55:00"/>
    <n v="38.75"/>
    <d v="1899-12-30T00:00:00"/>
    <d v="1899-12-30T00:00:00"/>
    <d v="1899-12-30T00:00:00"/>
    <n v="0"/>
  </r>
  <r>
    <x v="2"/>
    <s v="VSAV"/>
    <m/>
    <m/>
    <m/>
    <d v="1899-12-30T08:00:00"/>
    <d v="1899-12-30T13:35:00"/>
    <d v="1899-12-30T08:00:00"/>
    <d v="1900-01-07T00:00:00"/>
    <d v="1899-12-30T13:45:00"/>
    <s v="Intervention"/>
    <s v="oui"/>
    <d v="1899-12-30T05:45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5:45:00"/>
    <d v="1899-12-30T00:00:00"/>
    <n v="28.749999999999996"/>
  </r>
  <r>
    <x v="2"/>
    <s v="VSAV"/>
    <m/>
    <m/>
    <m/>
    <d v="1899-12-30T13:40:00"/>
    <d v="1899-12-30T17:02:00"/>
    <d v="1899-12-30T13:40:00"/>
    <d v="1900-01-08T00:00:00"/>
    <d v="1899-12-30T17:15:00"/>
    <s v="Intervention"/>
    <s v="oui"/>
    <d v="1899-12-30T03:35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3:35:00"/>
    <d v="1899-12-30T00:00:00"/>
    <n v="17.916666666666671"/>
  </r>
  <r>
    <x v="2"/>
    <s v="VSAV"/>
    <m/>
    <m/>
    <m/>
    <d v="1899-12-30T18:45:00"/>
    <d v="1899-12-30T20:17:00"/>
    <d v="1899-12-30T18:45:00"/>
    <d v="1900-01-09T00:00:00"/>
    <d v="1899-12-30T20:30:00"/>
    <s v="Intervention"/>
    <s v="oui"/>
    <d v="1899-12-30T01:45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1:45:00"/>
    <d v="1899-12-30T00:00:00"/>
    <n v="8.7499999999999964"/>
  </r>
  <r>
    <x v="3"/>
    <m/>
    <m/>
    <d v="1899-12-30T08:00:00"/>
    <d v="1899-12-30T08:00:00"/>
    <m/>
    <m/>
    <d v="1899-12-30T08:00:00"/>
    <d v="1900-01-10T00:00:00"/>
    <d v="1899-12-31T08:00:00"/>
    <s v="Garde"/>
    <s v="oui"/>
    <d v="1899-12-30T14:00:00"/>
    <d v="1899-12-30T00:00:00"/>
    <d v="1899-12-30T02:00:00"/>
    <s v="oui"/>
    <d v="1899-12-30T01:00:00"/>
    <d v="1899-12-30T07:00:00"/>
    <d v="1899-12-30T00:00:00"/>
    <d v="1899-12-30T00:00:00"/>
    <d v="1899-12-30T14:50:00"/>
    <n v="44.5"/>
    <d v="1899-12-30T00:00:00"/>
    <d v="1899-12-30T00:00:00"/>
    <d v="1899-12-30T00:00:00"/>
    <n v="0"/>
  </r>
  <r>
    <x v="3"/>
    <s v="CCF"/>
    <m/>
    <m/>
    <m/>
    <d v="1899-12-30T10:05:00"/>
    <d v="1899-12-30T14:12:00"/>
    <d v="1899-12-30T10:05:00"/>
    <d v="1900-01-11T00:00:00"/>
    <d v="1899-12-30T14:15:00"/>
    <s v="Intervention"/>
    <s v="oui"/>
    <d v="1899-12-30T04:10:00"/>
    <d v="1899-12-30T00:00:00"/>
    <d v="1899-12-30T00:00:00"/>
    <s v="oui"/>
    <d v="1899-12-30T00:00:00"/>
    <d v="1899-12-30T00:00:00"/>
    <d v="1899-12-30T00:00:00"/>
    <d v="1899-12-30T00:00:00"/>
    <d v="1899-12-30T00:00:00"/>
    <n v="0"/>
    <d v="1899-12-30T00:00:00"/>
    <d v="1899-12-30T04:10:00"/>
    <d v="1899-12-30T00:00:00"/>
    <n v="20.833333333333336"/>
  </r>
  <r>
    <x v="3"/>
    <s v="CCF"/>
    <m/>
    <m/>
    <m/>
    <d v="1899-12-30T19:00:00"/>
    <d v="1899-12-30T23:58:00"/>
    <d v="1899-12-30T19:00:00"/>
    <d v="1900-01-12T00:00:00"/>
    <d v="1899-12-31T00:00:00"/>
    <s v="Intervention"/>
    <s v="oui"/>
    <d v="1899-12-30T03:00:00"/>
    <d v="1899-12-30T00:00:00"/>
    <d v="1899-12-30T02:00:00"/>
    <s v="oui"/>
    <d v="1899-12-30T00:00:00"/>
    <d v="1899-12-30T00:00:00"/>
    <d v="1899-12-30T00:00:00"/>
    <d v="1899-12-30T00:00:00"/>
    <d v="1899-12-30T00:00:00"/>
    <n v="0"/>
    <d v="1899-12-30T00:00:00"/>
    <d v="1899-12-30T03:00:00"/>
    <d v="1899-12-30T02:00:00"/>
    <n v="27.0000000000000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F9" firstHeaderRow="1" firstDataRow="2" firstDataCol="3"/>
  <pivotFields count="29">
    <pivotField axis="axisRow" compact="0" numFmtId="167" outline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66" outline="0" showAll="0" defaultSubtotal="0"/>
    <pivotField compact="0" numFmtId="170" outline="0" showAll="0" defaultSubtotal="0"/>
    <pivotField compact="0" outline="0" showAll="0"/>
    <pivotField compact="0" outline="0" showAll="0" defaultSubtotal="0"/>
    <pivotField compact="0" outline="0" showAl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outline="0" showAl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numFmtId="166" outline="0" showAll="0" defaultSubtotal="0"/>
    <pivotField compact="0" outline="0" showAll="0"/>
    <pivotField dataField="1" compact="0" numFmtId="44" outline="0" showAll="0" defaultSubtotal="0"/>
    <pivotField compact="0" outline="0" showAll="0"/>
    <pivotField compact="0" outline="0" showAll="0"/>
    <pivotField compact="0" outline="0" showAll="0"/>
    <pivotField dataField="1" compact="0" numFmtId="44" outline="0" showAll="0" defaultSubtotal="0"/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3">
        <item x="1"/>
        <item x="0"/>
        <item x="2"/>
      </items>
    </pivotField>
    <pivotField dataField="1" compact="0" outline="0" dragToRow="0" dragToCol="0" dragToPage="0" showAll="0" defaultSubtotal="0"/>
  </pivotFields>
  <rowFields count="3">
    <field x="27"/>
    <field x="26"/>
    <field x="0"/>
  </rowFields>
  <rowItems count="5">
    <i>
      <x/>
      <x v="1"/>
      <x/>
    </i>
    <i r="1">
      <x v="5"/>
      <x v="146"/>
    </i>
    <i r="1">
      <x v="6"/>
      <x v="171"/>
    </i>
    <i r="1">
      <x v="7"/>
      <x v="19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Garde" fld="21" baseField="0" baseItem="1" numFmtId="169"/>
    <dataField name="Somme de Montant Interv." fld="25" baseField="0" baseItem="1" numFmtId="2"/>
    <dataField name="Somme de Total" fld="28" baseField="0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ata" displayName="data" ref="A1:AA14" totalsRowShown="0" headerRowDxfId="37">
  <autoFilter ref="A1:AA14"/>
  <tableColumns count="27">
    <tableColumn id="1" name="Date" dataDxfId="36"/>
    <tableColumn id="5" name="Véhicule" dataDxfId="35"/>
    <tableColumn id="6" name="Motif" dataDxfId="34"/>
    <tableColumn id="25" name="Hdébut garde" dataDxfId="33"/>
    <tableColumn id="26" name="Hfin garde" dataDxfId="32"/>
    <tableColumn id="3" name="Hdébut interv." dataDxfId="31"/>
    <tableColumn id="4" name="Hfin Interv." dataDxfId="30"/>
    <tableColumn id="23" name="Hdébut corrigé" dataDxfId="29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27" name="Date Heure Interv." dataDxfId="2">
      <calculatedColumnFormula>data[[#This Row],[Date]]+data[[#This Row],[Hdébut corrigé]]</calculatedColumnFormula>
    </tableColumn>
    <tableColumn id="2" name="Prochaine interv." dataDxfId="1">
      <calculatedColumnFormula array="1">SMALL(IF(data[Date Heure Interv.]&gt;data[[#This Row],[Date Heure Interv.]],data[Date Heure Interv.],data[[#This Row],[Date Heure Interv.]]+2),1)</calculatedColumnFormula>
    </tableColumn>
    <tableColumn id="12" name="Hfin corrigée" dataDxfId="0">
      <calculatedColumnFormula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calculatedColumnFormula>
    </tableColumn>
    <tableColumn id="7" name="Garde / Interv." dataDxfId="28">
      <calculatedColumnFormula>IF(data[[#This Row],[Hdébut garde]]&lt;&gt;"","Garde",IF(data[[#This Row],[Hdébut corrigé]]&lt;&gt;"","Intervention",""))</calculatedColumnFormula>
    </tableColumn>
    <tableColumn id="8" name="Début Dim ou Férié" dataDxfId="27">
      <calculatedColumnFormula>IF(OR(WEEKDAY(data[[#This Row],[Date]],2)=7,COUNTIF(JF,data[[#This Row],[Date]])=1),"oui","non")</calculatedColumnFormula>
    </tableColumn>
    <tableColumn id="10" name="JOUR1" dataDxfId="26">
      <calculatedColumnFormula>MAX(0,(MIN(1,data[[#This Row],[Hfin corrigée]])-data[[#This Row],[Hdébut corrigé]])-data[[#This Row],[NUIT1.1]]-data[[#This Row],[NUIT1.2]])</calculatedColumnFormula>
    </tableColumn>
    <tableColumn id="11" name="NUIT1.1" dataDxfId="25">
      <calculatedColumnFormula>IF(data[[#This Row],[Hfin Interv.]]="",0,(
MIN(FinNuit,MIN(1,data[[#This Row],[Hfin corrigée]]))-MIN(FinNuit,data[[#This Row],[Hdébut corrigé]])
))</calculatedColumnFormula>
    </tableColumn>
    <tableColumn id="18" name="NUIT1.2" dataDxfId="24">
      <calculatedColumnFormula>MAX(0,(MAX(0,(MIN(1,data[[#This Row],[Hfin corrigée]])-DebNuit))-MAX(0,(data[[#This Row],[Hdébut corrigé]]-DebNuit))))</calculatedColumnFormula>
    </tableColumn>
    <tableColumn id="9" name="Fin Dim ou Férié" dataDxfId="23">
      <calculatedColumnFormula>IF(OR(WEEKDAY(data[[#This Row],[Date]]+data[[#This Row],[Hfin corrigée]],2)=7,COUNTIF(JF,INT(data[[#This Row],[Date]]+data[[#This Row],[Hfin corrigée]]))=1),"oui","non")</calculatedColumnFormula>
    </tableColumn>
    <tableColumn id="19" name="JOUR2" dataDxfId="22">
      <calculatedColumnFormula>MAX(0,data[[#This Row],[Hfin corrigée]]-MAX(1,data[[#This Row],[Hdébut corrigé]]))-data[[#This Row],[NUIT2.1]]-data[[#This Row],[NUIT2.2]]</calculatedColumnFormula>
    </tableColumn>
    <tableColumn id="20" name="NUIT2.1" dataDxfId="21">
      <calculatedColumnFormula>MAX(0,MIN(1+FinNuit,data[[#This Row],[Hfin corrigée]])-MAX(1,data[[#This Row],[Hdébut corrigé]]))</calculatedColumnFormula>
    </tableColumn>
    <tableColumn id="21" name="NUIT2.2" dataDxfId="20">
      <calculatedColumnFormula>MAX(0,(data[[#This Row],[Hfin corrigée]]-DebNuit-1))</calculatedColumnFormula>
    </tableColumn>
    <tableColumn id="22" name="Interv. hors poste" dataDxfId="19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name="Durée sans interv." dataDxfId="18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24" name="Montant Garde" dataDxfId="17" dataCellStyle="Monétaire">
      <calculatedColumnFormula>TAUX1*data[[#This Row],[Durée sans interv.]]*24</calculatedColumnFormula>
    </tableColumn>
    <tableColumn id="13" name="Durée interv. jour" dataDxfId="16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name="Durée interv. dim ou férié" dataDxfId="15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name="Durée interv. nuit" dataDxfId="14">
      <calculatedColumnFormula>MAX(0,IF(data[[#This Row],[Garde / Interv.]]="Intervention",data[[#This Row],[NUIT1.1]]+data[[#This Row],[NUIT1.2]]+data[[#This Row],[NUIT2.1]]+data[[#This Row],[NUIT2.2]],0))</calculatedColumnFormula>
    </tableColumn>
    <tableColumn id="17" name="Montant Interv." dataDxfId="13" dataCellStyle="Monétaire">
      <calculatedColumnFormula>TAUX2*data[[#This Row],[Durée interv. jour]]*24+TAUX3*data[[#This Row],[Durée interv. dim ou férié]]*24+TAUX4*data[[#This Row],[Durée interv. nuit]]*24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est" displayName="test" ref="A1:H9" totalsRowShown="0" headerRowDxfId="12" dataDxfId="11">
  <autoFilter ref="A1:H9"/>
  <tableColumns count="8">
    <tableColumn id="23" name="Hdébut corrigé" dataDxfId="10"/>
    <tableColumn id="12" name="Hfin corrigée" dataDxfId="9"/>
    <tableColumn id="10" name="JOUR1" dataDxfId="8">
      <calculatedColumnFormula>MAX(0,(MIN(1,test[[#This Row],[Hfin corrigée]])-test[[#This Row],[Hdébut corrigé]])-test[[#This Row],[NUIT1.1]]-test[[#This Row],[NUIT1.2]])</calculatedColumnFormula>
    </tableColumn>
    <tableColumn id="11" name="NUIT1.1" dataDxfId="7">
      <calculatedColumnFormula>MIN(FinNuit,MIN(1,test[[#This Row],[Hfin corrigée]]))-MIN(FinNuit,test[[#This Row],[Hdébut corrigé]])</calculatedColumnFormula>
    </tableColumn>
    <tableColumn id="18" name="NUIT1.2" dataDxfId="6">
      <calculatedColumnFormula>MAX(0,(MAX(0,(MIN(1,test[[#This Row],[Hfin corrigée]])-DebNuit))-MAX(0,(test[[#This Row],[Hdébut corrigé]]-DebNuit))))</calculatedColumnFormula>
    </tableColumn>
    <tableColumn id="19" name="JOUR2" dataDxfId="5">
      <calculatedColumnFormula>MAX(0,test[[#This Row],[Hfin corrigée]]-MAX(1,test[[#This Row],[Hdébut corrigé]]))-test[[#This Row],[NUIT2.1]]-test[[#This Row],[NUIT2.2]]</calculatedColumnFormula>
    </tableColumn>
    <tableColumn id="20" name="NUIT2.1" dataDxfId="4">
      <calculatedColumnFormula>MAX(0,MIN(1+FinNuit,test[[#This Row],[Hfin corrigée]])-MAX(1,test[[#This Row],[Hdébut corrigé]]))</calculatedColumnFormula>
    </tableColumn>
    <tableColumn id="21" name="NUIT2.2" dataDxfId="3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14"/>
  <sheetViews>
    <sheetView showZeros="0" tabSelected="1" zoomScaleNormal="100" workbookViewId="0"/>
  </sheetViews>
  <sheetFormatPr baseColWidth="10" defaultRowHeight="14.5" x14ac:dyDescent="0.35"/>
  <cols>
    <col min="1" max="1" width="16.81640625" style="3" customWidth="1"/>
    <col min="2" max="2" width="9.90625" customWidth="1"/>
    <col min="3" max="3" width="23.90625" customWidth="1"/>
    <col min="4" max="7" width="9.08984375" style="2" customWidth="1"/>
    <col min="8" max="8" width="10.90625" style="51"/>
    <col min="9" max="10" width="0" style="51" hidden="1" customWidth="1"/>
    <col min="11" max="11" width="10.90625" style="51"/>
    <col min="12" max="13" width="10.81640625" style="6" hidden="1" customWidth="1"/>
    <col min="14" max="15" width="10.90625" hidden="1" customWidth="1"/>
    <col min="16" max="16" width="13.6328125" style="13" hidden="1" customWidth="1"/>
    <col min="17" max="17" width="7.1796875" style="9" hidden="1" customWidth="1"/>
    <col min="18" max="18" width="9.81640625" style="9" hidden="1" customWidth="1"/>
    <col min="19" max="20" width="8.54296875" style="13" hidden="1" customWidth="1"/>
    <col min="21" max="21" width="7.1796875" style="13" hidden="1" customWidth="1"/>
    <col min="22" max="22" width="9.81640625" style="9" customWidth="1"/>
    <col min="23" max="25" width="8.54296875" style="13" customWidth="1"/>
    <col min="26" max="26" width="8.54296875" style="14" customWidth="1"/>
    <col min="27" max="27" width="8.54296875" style="25" customWidth="1"/>
    <col min="28" max="28" width="10.90625" style="14"/>
    <col min="29" max="29" width="9.81640625" style="11" customWidth="1"/>
    <col min="30" max="30" width="10" style="11" customWidth="1"/>
    <col min="31" max="31" width="10.90625" style="11"/>
    <col min="32" max="32" width="10" style="4" customWidth="1"/>
    <col min="33" max="33" width="10.90625" style="5"/>
  </cols>
  <sheetData>
    <row r="1" spans="1:33" s="53" customFormat="1" ht="58" x14ac:dyDescent="0.35">
      <c r="A1" s="52" t="s">
        <v>0</v>
      </c>
      <c r="B1" s="53" t="s">
        <v>2</v>
      </c>
      <c r="C1" s="53" t="s">
        <v>1</v>
      </c>
      <c r="D1" s="54" t="s">
        <v>62</v>
      </c>
      <c r="E1" s="54" t="s">
        <v>63</v>
      </c>
      <c r="F1" s="54" t="s">
        <v>19</v>
      </c>
      <c r="G1" s="54" t="s">
        <v>20</v>
      </c>
      <c r="H1" s="48" t="s">
        <v>27</v>
      </c>
      <c r="I1" s="48" t="s">
        <v>66</v>
      </c>
      <c r="J1" s="48" t="s">
        <v>65</v>
      </c>
      <c r="K1" s="48" t="s">
        <v>14</v>
      </c>
      <c r="L1" s="55" t="s">
        <v>64</v>
      </c>
      <c r="M1" s="55" t="s">
        <v>12</v>
      </c>
      <c r="N1" s="56" t="s">
        <v>21</v>
      </c>
      <c r="O1" s="56" t="s">
        <v>22</v>
      </c>
      <c r="P1" s="56" t="s">
        <v>23</v>
      </c>
      <c r="Q1" s="55" t="s">
        <v>13</v>
      </c>
      <c r="R1" s="56" t="s">
        <v>24</v>
      </c>
      <c r="S1" s="56" t="s">
        <v>25</v>
      </c>
      <c r="T1" s="56" t="s">
        <v>26</v>
      </c>
      <c r="U1" s="56" t="s">
        <v>35</v>
      </c>
      <c r="V1" s="7" t="s">
        <v>15</v>
      </c>
      <c r="W1" s="8" t="s">
        <v>37</v>
      </c>
      <c r="X1" s="7" t="s">
        <v>18</v>
      </c>
      <c r="Y1" s="7" t="s">
        <v>16</v>
      </c>
      <c r="Z1" s="7" t="s">
        <v>17</v>
      </c>
      <c r="AA1" s="8" t="s">
        <v>38</v>
      </c>
    </row>
    <row r="2" spans="1:33" x14ac:dyDescent="0.35">
      <c r="A2" s="3">
        <v>43246</v>
      </c>
      <c r="B2" s="22"/>
      <c r="D2" s="39">
        <v>0.5</v>
      </c>
      <c r="E2" s="39">
        <v>0.33333333333333331</v>
      </c>
      <c r="F2" s="39"/>
      <c r="G2" s="39"/>
      <c r="H2" s="49">
        <f>IF(data[[#This Row],[Hdébut garde]]&lt;&gt;"",
data[[#This Row],[Hdébut garde]],
data[[#This Row],[Hdébut interv.]]+IF(data[[#This Row],[Hdébut interv.]]&lt;SUMPRODUCT((data[Date]=data[[#This Row],[Date]])*data[Hdébut garde]),1,0)
)</f>
        <v>0.5</v>
      </c>
      <c r="I2" s="49">
        <f>data[[#This Row],[Date]]+data[[#This Row],[Hdébut corrigé]]</f>
        <v>43246.5</v>
      </c>
      <c r="J2" s="49">
        <f t="array" ref="J2">SMALL(IF(data[Date Heure Interv.]&gt;data[[#This Row],[Date Heure Interv.]],data[Date Heure Interv.],data[[#This Row],[Date Heure Interv.]]+2),1)</f>
        <v>43246.513888888891</v>
      </c>
      <c r="K2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1.3333333333333333</v>
      </c>
      <c r="L2" s="9" t="str">
        <f>IF(data[[#This Row],[Hdébut garde]]&lt;&gt;"","Garde",IF(data[[#This Row],[Hdébut corrigé]]&lt;&gt;"","Intervention",""))</f>
        <v>Garde</v>
      </c>
      <c r="M2" s="9" t="str">
        <f>IF(OR(WEEKDAY(data[[#This Row],[Date]],2)=7,COUNTIF(JF,data[[#This Row],[Date]])=1),"oui","non")</f>
        <v>non</v>
      </c>
      <c r="N2" s="10">
        <f>MAX(0,(MIN(1,data[[#This Row],[Hfin corrigée]])-data[[#This Row],[Hdébut corrigé]])-data[[#This Row],[NUIT1.1]]-data[[#This Row],[NUIT1.2]])</f>
        <v>0.41666666666666663</v>
      </c>
      <c r="O2" s="10">
        <f>IF(data[[#This Row],[Hfin Interv.]]="",0,(
MIN(FinNuit,MIN(1,data[[#This Row],[Hfin corrigée]]))-MIN(FinNuit,data[[#This Row],[Hdébut corrigé]])
))</f>
        <v>0</v>
      </c>
      <c r="P2" s="10">
        <f>MAX(0,(MAX(0,(MIN(1,data[[#This Row],[Hfin corrigée]])-DebNuit))-MAX(0,(data[[#This Row],[Hdébut corrigé]]-DebNuit))))</f>
        <v>8.333333333333337E-2</v>
      </c>
      <c r="Q2" s="9" t="str">
        <f>IF(OR(WEEKDAY(data[[#This Row],[Date]]+data[[#This Row],[Hfin corrigée]],2)=7,COUNTIF(JF,INT(data[[#This Row],[Date]]+data[[#This Row],[Hfin corrigée]]))=1),"oui","non")</f>
        <v>oui</v>
      </c>
      <c r="R2" s="10">
        <f>MAX(0,data[[#This Row],[Hfin corrigée]]-MAX(1,data[[#This Row],[Hdébut corrigé]]))-data[[#This Row],[NUIT2.1]]-data[[#This Row],[NUIT2.2]]</f>
        <v>4.1666666666666519E-2</v>
      </c>
      <c r="S2" s="10">
        <f>MAX(0,MIN(1+FinNuit,data[[#This Row],[Hfin corrigée]])-MAX(1,data[[#This Row],[Hdébut corrigé]]))</f>
        <v>0.29166666666666674</v>
      </c>
      <c r="T2" s="10">
        <f>MAX(0,(data[[#This Row],[Hfin corrigée]]-DebNuit-1))</f>
        <v>0</v>
      </c>
      <c r="U2" s="10">
        <f>IF(data[[#This Row],[Garde / Interv.]]="Intervention",MAX(0,data[[#This Row],[Hfin corrigée]]-SUMPRODUCT((data[Date]=data[[#This Row],[Date]])*(data[Garde / Interv.]="Garde")*data[Hfin corrigée])),0)</f>
        <v>0</v>
      </c>
      <c r="V2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0.52430555555555558</v>
      </c>
      <c r="W2" s="12">
        <f>TAUX1*data[[#This Row],[Durée sans interv.]]*24</f>
        <v>37.75</v>
      </c>
      <c r="X2" s="11">
        <f>MAX(0,IF(data[[#This Row],[Garde / Interv.]]="Intervention",(data[[#This Row],[Fin Dim ou Férié]]="non")*data[[#This Row],[JOUR2]]+(data[[#This Row],[Début Dim ou Férié]]="non")*data[[#This Row],[JOUR1]],0))</f>
        <v>0</v>
      </c>
      <c r="Y2" s="11">
        <f>IF(data[[#This Row],[Garde / Interv.]]="Intervention",(data[[#This Row],[Fin Dim ou Férié]]="oui")*data[[#This Row],[JOUR2]]+(data[[#This Row],[Début Dim ou Férié]]="oui")*data[[#This Row],[JOUR1]],0)</f>
        <v>0</v>
      </c>
      <c r="Z2" s="11">
        <f>MAX(0,IF(data[[#This Row],[Garde / Interv.]]="Intervention",data[[#This Row],[NUIT1.1]]+data[[#This Row],[NUIT1.2]]+data[[#This Row],[NUIT2.1]]+data[[#This Row],[NUIT2.2]],0))</f>
        <v>0</v>
      </c>
      <c r="AA2" s="12">
        <f>TAUX2*data[[#This Row],[Durée interv. jour]]*24+TAUX3*data[[#This Row],[Durée interv. dim ou férié]]*24+TAUX4*data[[#This Row],[Durée interv. nuit]]*24</f>
        <v>0</v>
      </c>
      <c r="AB2"/>
      <c r="AC2"/>
      <c r="AD2"/>
      <c r="AE2"/>
      <c r="AF2"/>
      <c r="AG2"/>
    </row>
    <row r="3" spans="1:33" x14ac:dyDescent="0.35">
      <c r="A3" s="3">
        <v>43246</v>
      </c>
      <c r="B3" s="22" t="s">
        <v>3</v>
      </c>
      <c r="C3" s="22"/>
      <c r="D3" s="39"/>
      <c r="E3" s="39"/>
      <c r="F3" s="39">
        <v>0.875</v>
      </c>
      <c r="G3" s="39">
        <v>4.4444444444444446E-2</v>
      </c>
      <c r="H3" s="49">
        <f>IF(data[[#This Row],[Hdébut garde]]&lt;&gt;"",
data[[#This Row],[Hdébut garde]],
data[[#This Row],[Hdébut interv.]]+IF(data[[#This Row],[Hdébut interv.]]&lt;SUMPRODUCT((data[Date]=data[[#This Row],[Date]])*data[Hdébut garde]),1,0)
)</f>
        <v>0.875</v>
      </c>
      <c r="I3" s="49">
        <f>data[[#This Row],[Date]]+data[[#This Row],[Hdébut corrigé]]</f>
        <v>43246.875</v>
      </c>
      <c r="J3" s="49">
        <f t="array" ref="J3">SMALL(IF(data[Date Heure Interv.]&gt;data[[#This Row],[Date Heure Interv.]],data[Date Heure Interv.],data[[#This Row],[Date Heure Interv.]]+2),1)</f>
        <v>43248.875</v>
      </c>
      <c r="K3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1.0520833333333333</v>
      </c>
      <c r="L3" s="9" t="str">
        <f>IF(data[[#This Row],[Hdébut garde]]&lt;&gt;"","Garde",IF(data[[#This Row],[Hdébut corrigé]]&lt;&gt;"","Intervention",""))</f>
        <v>Intervention</v>
      </c>
      <c r="M3" s="9" t="str">
        <f>IF(OR(WEEKDAY(data[[#This Row],[Date]],2)=7,COUNTIF(JF,data[[#This Row],[Date]])=1),"oui","non")</f>
        <v>non</v>
      </c>
      <c r="N3" s="10">
        <f>MAX(0,(MIN(1,data[[#This Row],[Hfin corrigée]])-data[[#This Row],[Hdébut corrigé]])-data[[#This Row],[NUIT1.1]]-data[[#This Row],[NUIT1.2]])</f>
        <v>4.166666666666663E-2</v>
      </c>
      <c r="O3" s="10">
        <f>IF(data[[#This Row],[Hfin Interv.]]="",0,(
MIN(FinNuit,MIN(1,data[[#This Row],[Hfin corrigée]]))-MIN(FinNuit,data[[#This Row],[Hdébut corrigé]])
))</f>
        <v>0</v>
      </c>
      <c r="P3" s="10">
        <f>MAX(0,(MAX(0,(MIN(1,data[[#This Row],[Hfin corrigée]])-DebNuit))-MAX(0,(data[[#This Row],[Hdébut corrigé]]-DebNuit))))</f>
        <v>8.333333333333337E-2</v>
      </c>
      <c r="Q3" s="9" t="str">
        <f>IF(OR(WEEKDAY(data[[#This Row],[Date]]+data[[#This Row],[Hfin corrigée]],2)=7,COUNTIF(JF,INT(data[[#This Row],[Date]]+data[[#This Row],[Hfin corrigée]]))=1),"oui","non")</f>
        <v>oui</v>
      </c>
      <c r="R3" s="10">
        <f>MAX(0,data[[#This Row],[Hfin corrigée]]-MAX(1,data[[#This Row],[Hdébut corrigé]]))-data[[#This Row],[NUIT2.1]]-data[[#This Row],[NUIT2.2]]</f>
        <v>0</v>
      </c>
      <c r="S3" s="10">
        <f>MAX(0,MIN(1+FinNuit,data[[#This Row],[Hfin corrigée]])-MAX(1,data[[#This Row],[Hdébut corrigé]]))</f>
        <v>5.2083333333333259E-2</v>
      </c>
      <c r="T3" s="10">
        <f>MAX(0,(data[[#This Row],[Hfin corrigée]]-DebNuit-1))</f>
        <v>0</v>
      </c>
      <c r="U3" s="10">
        <f>IF(data[[#This Row],[Garde / Interv.]]="Intervention",MAX(0,data[[#This Row],[Hfin corrigée]]-SUMPRODUCT((data[Date]=data[[#This Row],[Date]])*(data[Garde / Interv.]="Garde")*data[Hfin corrigée])),0)</f>
        <v>0</v>
      </c>
      <c r="V3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3" s="12">
        <f>TAUX1*data[[#This Row],[Durée sans interv.]]*24</f>
        <v>0</v>
      </c>
      <c r="X3" s="11">
        <f>MAX(0,IF(data[[#This Row],[Garde / Interv.]]="Intervention",(data[[#This Row],[Fin Dim ou Férié]]="non")*data[[#This Row],[JOUR2]]+(data[[#This Row],[Début Dim ou Férié]]="non")*data[[#This Row],[JOUR1]],0))</f>
        <v>4.166666666666663E-2</v>
      </c>
      <c r="Y3" s="11">
        <f>IF(data[[#This Row],[Garde / Interv.]]="Intervention",(data[[#This Row],[Fin Dim ou Férié]]="oui")*data[[#This Row],[JOUR2]]+(data[[#This Row],[Début Dim ou Férié]]="oui")*data[[#This Row],[JOUR1]],0)</f>
        <v>0</v>
      </c>
      <c r="Z3" s="11">
        <f>MAX(0,IF(data[[#This Row],[Garde / Interv.]]="Intervention",data[[#This Row],[NUIT1.1]]+data[[#This Row],[NUIT1.2]]+data[[#This Row],[NUIT2.1]]+data[[#This Row],[NUIT2.2]],0))</f>
        <v>0.13541666666666663</v>
      </c>
      <c r="AA3" s="12">
        <f>TAUX2*data[[#This Row],[Durée interv. jour]]*24+TAUX3*data[[#This Row],[Durée interv. dim ou férié]]*24+TAUX4*data[[#This Row],[Durée interv. nuit]]*24</f>
        <v>23.499999999999989</v>
      </c>
      <c r="AB3"/>
      <c r="AC3"/>
      <c r="AD3"/>
      <c r="AE3"/>
      <c r="AF3"/>
      <c r="AG3"/>
    </row>
    <row r="4" spans="1:33" x14ac:dyDescent="0.35">
      <c r="A4" s="3">
        <v>43246</v>
      </c>
      <c r="B4" s="22" t="s">
        <v>5</v>
      </c>
      <c r="C4" s="22"/>
      <c r="D4" s="39"/>
      <c r="E4" s="39"/>
      <c r="F4" s="39">
        <v>0.51388888888888895</v>
      </c>
      <c r="G4" s="39">
        <v>0.6430555555555556</v>
      </c>
      <c r="H4" s="49">
        <f>IF(data[[#This Row],[Hdébut garde]]&lt;&gt;"",
data[[#This Row],[Hdébut garde]],
data[[#This Row],[Hdébut interv.]]+IF(data[[#This Row],[Hdébut interv.]]&lt;SUMPRODUCT((data[Date]=data[[#This Row],[Date]])*data[Hdébut garde]),1,0)
)</f>
        <v>0.51388888888888895</v>
      </c>
      <c r="I4" s="49">
        <f>data[[#This Row],[Date]]+data[[#This Row],[Hdébut corrigé]]</f>
        <v>43246.513888888891</v>
      </c>
      <c r="J4" s="49">
        <f t="array" ref="J4">SMALL(IF(data[Date Heure Interv.]&gt;data[[#This Row],[Date Heure Interv.]],data[Date Heure Interv.],data[[#This Row],[Date Heure Interv.]]+2),1)</f>
        <v>43246.875</v>
      </c>
      <c r="K4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0.64583333333333337</v>
      </c>
      <c r="L4" s="9" t="str">
        <f>IF(data[[#This Row],[Hdébut garde]]&lt;&gt;"","Garde",IF(data[[#This Row],[Hdébut corrigé]]&lt;&gt;"","Intervention",""))</f>
        <v>Intervention</v>
      </c>
      <c r="M4" s="9" t="str">
        <f>IF(OR(WEEKDAY(data[[#This Row],[Date]],2)=7,COUNTIF(JF,data[[#This Row],[Date]])=1),"oui","non")</f>
        <v>non</v>
      </c>
      <c r="N4" s="10">
        <f>MAX(0,(MIN(1,data[[#This Row],[Hfin corrigée]])-data[[#This Row],[Hdébut corrigé]])-data[[#This Row],[NUIT1.1]]-data[[#This Row],[NUIT1.2]])</f>
        <v>0.13194444444444442</v>
      </c>
      <c r="O4" s="10">
        <f>IF(data[[#This Row],[Hfin Interv.]]="",0,(
MIN(FinNuit,MIN(1,data[[#This Row],[Hfin corrigée]]))-MIN(FinNuit,data[[#This Row],[Hdébut corrigé]])
))</f>
        <v>0</v>
      </c>
      <c r="P4" s="10">
        <f>MAX(0,(MAX(0,(MIN(1,data[[#This Row],[Hfin corrigée]])-DebNuit))-MAX(0,(data[[#This Row],[Hdébut corrigé]]-DebNuit))))</f>
        <v>0</v>
      </c>
      <c r="Q4" s="9" t="str">
        <f>IF(OR(WEEKDAY(data[[#This Row],[Date]]+data[[#This Row],[Hfin corrigée]],2)=7,COUNTIF(JF,INT(data[[#This Row],[Date]]+data[[#This Row],[Hfin corrigée]]))=1),"oui","non")</f>
        <v>non</v>
      </c>
      <c r="R4" s="10">
        <f>MAX(0,data[[#This Row],[Hfin corrigée]]-MAX(1,data[[#This Row],[Hdébut corrigé]]))-data[[#This Row],[NUIT2.1]]-data[[#This Row],[NUIT2.2]]</f>
        <v>0</v>
      </c>
      <c r="S4" s="10">
        <f>MAX(0,MIN(1+FinNuit,data[[#This Row],[Hfin corrigée]])-MAX(1,data[[#This Row],[Hdébut corrigé]]))</f>
        <v>0</v>
      </c>
      <c r="T4" s="10">
        <f>MAX(0,(data[[#This Row],[Hfin corrigée]]-DebNuit-1))</f>
        <v>0</v>
      </c>
      <c r="U4" s="10">
        <f>IF(data[[#This Row],[Garde / Interv.]]="Intervention",MAX(0,data[[#This Row],[Hfin corrigée]]-SUMPRODUCT((data[Date]=data[[#This Row],[Date]])*(data[Garde / Interv.]="Garde")*data[Hfin corrigée])),0)</f>
        <v>0</v>
      </c>
      <c r="V4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4" s="12">
        <f>TAUX1*data[[#This Row],[Durée sans interv.]]*24</f>
        <v>0</v>
      </c>
      <c r="X4" s="11">
        <f>MAX(0,IF(data[[#This Row],[Garde / Interv.]]="Intervention",(data[[#This Row],[Fin Dim ou Férié]]="non")*data[[#This Row],[JOUR2]]+(data[[#This Row],[Début Dim ou Férié]]="non")*data[[#This Row],[JOUR1]],0))</f>
        <v>0.13194444444444442</v>
      </c>
      <c r="Y4" s="11">
        <f>IF(data[[#This Row],[Garde / Interv.]]="Intervention",(data[[#This Row],[Fin Dim ou Férié]]="oui")*data[[#This Row],[JOUR2]]+(data[[#This Row],[Début Dim ou Férié]]="oui")*data[[#This Row],[JOUR1]],0)</f>
        <v>0</v>
      </c>
      <c r="Z4" s="11">
        <f>MAX(0,IF(data[[#This Row],[Garde / Interv.]]="Intervention",data[[#This Row],[NUIT1.1]]+data[[#This Row],[NUIT1.2]]+data[[#This Row],[NUIT2.1]]+data[[#This Row],[NUIT2.2]],0))</f>
        <v>0</v>
      </c>
      <c r="AA4" s="12">
        <f>TAUX2*data[[#This Row],[Durée interv. jour]]*24+TAUX3*data[[#This Row],[Durée interv. dim ou férié]]*24+TAUX4*data[[#This Row],[Durée interv. nuit]]*24</f>
        <v>12.666666666666664</v>
      </c>
      <c r="AB4"/>
      <c r="AC4"/>
      <c r="AD4"/>
      <c r="AE4"/>
      <c r="AF4"/>
      <c r="AG4"/>
    </row>
    <row r="5" spans="1:33" x14ac:dyDescent="0.35">
      <c r="A5" s="3">
        <v>43271</v>
      </c>
      <c r="B5" s="22"/>
      <c r="C5" s="22"/>
      <c r="D5" s="39">
        <v>0.33333333333333331</v>
      </c>
      <c r="E5" s="39">
        <v>0.33333333333333331</v>
      </c>
      <c r="F5" s="39"/>
      <c r="G5" s="39"/>
      <c r="H5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5" s="49">
        <f>data[[#This Row],[Date]]+data[[#This Row],[Hdébut corrigé]]</f>
        <v>43271.333333333336</v>
      </c>
      <c r="J5" s="49">
        <f t="array" ref="J5">SMALL(IF(data[Date Heure Interv.]&gt;data[[#This Row],[Date Heure Interv.]],data[Date Heure Interv.],data[[#This Row],[Date Heure Interv.]]+2),1)</f>
        <v>43271.430555555555</v>
      </c>
      <c r="K5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1.3333333333333333</v>
      </c>
      <c r="L5" s="9" t="str">
        <f>IF(data[[#This Row],[Hdébut garde]]&lt;&gt;"","Garde",IF(data[[#This Row],[Hdébut corrigé]]&lt;&gt;"","Intervention",""))</f>
        <v>Garde</v>
      </c>
      <c r="M5" s="9" t="str">
        <f>IF(OR(WEEKDAY(data[[#This Row],[Date]],2)=7,COUNTIF(JF,data[[#This Row],[Date]])=1),"oui","non")</f>
        <v>non</v>
      </c>
      <c r="N5" s="10">
        <f>MAX(0,(MIN(1,data[[#This Row],[Hfin corrigée]])-data[[#This Row],[Hdébut corrigé]])-data[[#This Row],[NUIT1.1]]-data[[#This Row],[NUIT1.2]])</f>
        <v>0.58333333333333337</v>
      </c>
      <c r="O5" s="10">
        <f>IF(data[[#This Row],[Hfin Interv.]]="",0,(
MIN(FinNuit,MIN(1,data[[#This Row],[Hfin corrigée]]))-MIN(FinNuit,data[[#This Row],[Hdébut corrigé]])
))</f>
        <v>0</v>
      </c>
      <c r="P5" s="10">
        <f>MAX(0,(MAX(0,(MIN(1,data[[#This Row],[Hfin corrigée]])-DebNuit))-MAX(0,(data[[#This Row],[Hdébut corrigé]]-DebNuit))))</f>
        <v>8.333333333333337E-2</v>
      </c>
      <c r="Q5" s="9" t="str">
        <f>IF(OR(WEEKDAY(data[[#This Row],[Date]]+data[[#This Row],[Hfin corrigée]],2)=7,COUNTIF(JF,INT(data[[#This Row],[Date]]+data[[#This Row],[Hfin corrigée]]))=1),"oui","non")</f>
        <v>non</v>
      </c>
      <c r="R5" s="10">
        <f>MAX(0,data[[#This Row],[Hfin corrigée]]-MAX(1,data[[#This Row],[Hdébut corrigé]]))-data[[#This Row],[NUIT2.1]]-data[[#This Row],[NUIT2.2]]</f>
        <v>4.1666666666666519E-2</v>
      </c>
      <c r="S5" s="10">
        <f>MAX(0,MIN(1+FinNuit,data[[#This Row],[Hfin corrigée]])-MAX(1,data[[#This Row],[Hdébut corrigé]]))</f>
        <v>0.29166666666666674</v>
      </c>
      <c r="T5" s="10">
        <f>MAX(0,(data[[#This Row],[Hfin corrigée]]-DebNuit-1))</f>
        <v>0</v>
      </c>
      <c r="U5" s="10">
        <f>IF(data[[#This Row],[Garde / Interv.]]="Intervention",MAX(0,data[[#This Row],[Hfin corrigée]]-SUMPRODUCT((data[Date]=data[[#This Row],[Date]])*(data[Garde / Interv.]="Garde")*data[Hfin corrigée])),0)</f>
        <v>0</v>
      </c>
      <c r="V5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0.26388888888888906</v>
      </c>
      <c r="W5" s="12">
        <f>TAUX1*data[[#This Row],[Durée sans interv.]]*24</f>
        <v>19.000000000000014</v>
      </c>
      <c r="X5" s="11">
        <f>MAX(0,IF(data[[#This Row],[Garde / Interv.]]="Intervention",(data[[#This Row],[Fin Dim ou Férié]]="non")*data[[#This Row],[JOUR2]]+(data[[#This Row],[Début Dim ou Férié]]="non")*data[[#This Row],[JOUR1]],0))</f>
        <v>0</v>
      </c>
      <c r="Y5" s="11">
        <f>IF(data[[#This Row],[Garde / Interv.]]="Intervention",(data[[#This Row],[Fin Dim ou Férié]]="oui")*data[[#This Row],[JOUR2]]+(data[[#This Row],[Début Dim ou Férié]]="oui")*data[[#This Row],[JOUR1]],0)</f>
        <v>0</v>
      </c>
      <c r="Z5" s="11">
        <f>MAX(0,IF(data[[#This Row],[Garde / Interv.]]="Intervention",data[[#This Row],[NUIT1.1]]+data[[#This Row],[NUIT1.2]]+data[[#This Row],[NUIT2.1]]+data[[#This Row],[NUIT2.2]],0))</f>
        <v>0</v>
      </c>
      <c r="AA5" s="12">
        <f>TAUX2*data[[#This Row],[Durée interv. jour]]*24+TAUX3*data[[#This Row],[Durée interv. dim ou férié]]*24+TAUX4*data[[#This Row],[Durée interv. nuit]]*24</f>
        <v>0</v>
      </c>
      <c r="AB5"/>
      <c r="AC5"/>
      <c r="AD5"/>
      <c r="AE5"/>
      <c r="AF5"/>
      <c r="AG5"/>
    </row>
    <row r="6" spans="1:33" x14ac:dyDescent="0.35">
      <c r="A6" s="3">
        <v>43271</v>
      </c>
      <c r="B6" s="22" t="s">
        <v>4</v>
      </c>
      <c r="C6" s="22"/>
      <c r="D6" s="39"/>
      <c r="E6" s="39"/>
      <c r="F6" s="39">
        <v>0.43055555555555602</v>
      </c>
      <c r="G6" s="39">
        <v>0.9916666666666667</v>
      </c>
      <c r="H6" s="49">
        <f>IF(data[[#This Row],[Hdébut garde]]&lt;&gt;"",
data[[#This Row],[Hdébut garde]],
data[[#This Row],[Hdébut interv.]]+IF(data[[#This Row],[Hdébut interv.]]&lt;SUMPRODUCT((data[Date]=data[[#This Row],[Date]])*data[Hdébut garde]),1,0)
)</f>
        <v>0.43055555555555602</v>
      </c>
      <c r="I6" s="49">
        <f>data[[#This Row],[Date]]+data[[#This Row],[Hdébut corrigé]]</f>
        <v>43271.430555555555</v>
      </c>
      <c r="J6" s="49">
        <f t="array" ref="J6">SMALL(IF(data[Date Heure Interv.]&gt;data[[#This Row],[Date Heure Interv.]],data[Date Heure Interv.],data[[#This Row],[Date Heure Interv.]]+2),1)</f>
        <v>43272.145833333336</v>
      </c>
      <c r="K6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</v>
      </c>
      <c r="L6" s="9" t="str">
        <f>IF(data[[#This Row],[Hdébut garde]]&lt;&gt;"","Garde",IF(data[[#This Row],[Hdébut corrigé]]&lt;&gt;"","Intervention",""))</f>
        <v>Intervention</v>
      </c>
      <c r="M6" s="9" t="str">
        <f>IF(OR(WEEKDAY(data[[#This Row],[Date]],2)=7,COUNTIF(JF,data[[#This Row],[Date]])=1),"oui","non")</f>
        <v>non</v>
      </c>
      <c r="N6" s="10">
        <f>MAX(0,(MIN(1,data[[#This Row],[Hfin corrigée]])-data[[#This Row],[Hdébut corrigé]])-data[[#This Row],[NUIT1.1]]-data[[#This Row],[NUIT1.2]])</f>
        <v>0.48611111111111061</v>
      </c>
      <c r="O6" s="10">
        <f>IF(data[[#This Row],[Hfin Interv.]]="",0,(
MIN(FinNuit,MIN(1,data[[#This Row],[Hfin corrigée]]))-MIN(FinNuit,data[[#This Row],[Hdébut corrigé]])
))</f>
        <v>0</v>
      </c>
      <c r="P6" s="10">
        <f>MAX(0,(MAX(0,(MIN(1,data[[#This Row],[Hfin corrigée]])-DebNuit))-MAX(0,(data[[#This Row],[Hdébut corrigé]]-DebNuit))))</f>
        <v>8.333333333333337E-2</v>
      </c>
      <c r="Q6" s="9" t="str">
        <f>IF(OR(WEEKDAY(data[[#This Row],[Date]]+data[[#This Row],[Hfin corrigée]],2)=7,COUNTIF(JF,INT(data[[#This Row],[Date]]+data[[#This Row],[Hfin corrigée]]))=1),"oui","non")</f>
        <v>non</v>
      </c>
      <c r="R6" s="10">
        <f>MAX(0,data[[#This Row],[Hfin corrigée]]-MAX(1,data[[#This Row],[Hdébut corrigé]]))-data[[#This Row],[NUIT2.1]]-data[[#This Row],[NUIT2.2]]</f>
        <v>0</v>
      </c>
      <c r="S6" s="10">
        <f>MAX(0,MIN(1+FinNuit,data[[#This Row],[Hfin corrigée]])-MAX(1,data[[#This Row],[Hdébut corrigé]]))</f>
        <v>0</v>
      </c>
      <c r="T6" s="10">
        <f>MAX(0,(data[[#This Row],[Hfin corrigée]]-DebNuit-1))</f>
        <v>0</v>
      </c>
      <c r="U6" s="10">
        <f>IF(data[[#This Row],[Garde / Interv.]]="Intervention",MAX(0,data[[#This Row],[Hfin corrigée]]-SUMPRODUCT((data[Date]=data[[#This Row],[Date]])*(data[Garde / Interv.]="Garde")*data[Hfin corrigée])),0)</f>
        <v>0</v>
      </c>
      <c r="V6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6" s="12">
        <f>TAUX1*data[[#This Row],[Durée sans interv.]]*24</f>
        <v>0</v>
      </c>
      <c r="X6" s="11">
        <f>MAX(0,IF(data[[#This Row],[Garde / Interv.]]="Intervention",(data[[#This Row],[Fin Dim ou Férié]]="non")*data[[#This Row],[JOUR2]]+(data[[#This Row],[Début Dim ou Férié]]="non")*data[[#This Row],[JOUR1]],0))</f>
        <v>0.48611111111111061</v>
      </c>
      <c r="Y6" s="11">
        <f>IF(data[[#This Row],[Garde / Interv.]]="Intervention",(data[[#This Row],[Fin Dim ou Férié]]="oui")*data[[#This Row],[JOUR2]]+(data[[#This Row],[Début Dim ou Férié]]="oui")*data[[#This Row],[JOUR1]],0)</f>
        <v>0</v>
      </c>
      <c r="Z6" s="11">
        <f>MAX(0,IF(data[[#This Row],[Garde / Interv.]]="Intervention",data[[#This Row],[NUIT1.1]]+data[[#This Row],[NUIT1.2]]+data[[#This Row],[NUIT2.1]]+data[[#This Row],[NUIT2.2]],0))</f>
        <v>8.333333333333337E-2</v>
      </c>
      <c r="AA6" s="12">
        <f>TAUX2*data[[#This Row],[Durée interv. jour]]*24+TAUX3*data[[#This Row],[Durée interv. dim ou férié]]*24+TAUX4*data[[#This Row],[Durée interv. nuit]]*24</f>
        <v>58.666666666666622</v>
      </c>
      <c r="AB6"/>
      <c r="AC6"/>
      <c r="AD6"/>
      <c r="AE6"/>
      <c r="AF6"/>
      <c r="AG6"/>
    </row>
    <row r="7" spans="1:33" s="30" customFormat="1" x14ac:dyDescent="0.35">
      <c r="A7" s="41">
        <v>43271</v>
      </c>
      <c r="B7" s="42" t="s">
        <v>6</v>
      </c>
      <c r="C7" s="42"/>
      <c r="D7" s="43"/>
      <c r="E7" s="43"/>
      <c r="F7" s="43">
        <v>0.14583333333333301</v>
      </c>
      <c r="G7" s="43">
        <v>0.3125</v>
      </c>
      <c r="H7" s="50">
        <f>IF(data[[#This Row],[Hdébut garde]]&lt;&gt;"",
data[[#This Row],[Hdébut garde]],
data[[#This Row],[Hdébut interv.]]+IF(data[[#This Row],[Hdébut interv.]]&lt;SUMPRODUCT((data[Date]=data[[#This Row],[Date]])*data[Hdébut garde]),1,0)
)</f>
        <v>1.145833333333333</v>
      </c>
      <c r="I7" s="50">
        <f>data[[#This Row],[Date]]+data[[#This Row],[Hdébut corrigé]]</f>
        <v>43272.145833333336</v>
      </c>
      <c r="J7" s="49">
        <f t="array" ref="J7">SMALL(IF(data[Date Heure Interv.]&gt;data[[#This Row],[Date Heure Interv.]],data[Date Heure Interv.],data[[#This Row],[Date Heure Interv.]]+2),1)</f>
        <v>43274.145833333336</v>
      </c>
      <c r="K7" s="50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1.3125</v>
      </c>
      <c r="L7" s="44" t="str">
        <f>IF(data[[#This Row],[Hdébut garde]]&lt;&gt;"","Garde",IF(data[[#This Row],[Hdébut corrigé]]&lt;&gt;"","Intervention",""))</f>
        <v>Intervention</v>
      </c>
      <c r="M7" s="44" t="str">
        <f>IF(OR(WEEKDAY(data[[#This Row],[Date]],2)=7,COUNTIF(JF,data[[#This Row],[Date]])=1),"oui","non")</f>
        <v>non</v>
      </c>
      <c r="N7" s="45">
        <f>MAX(0,(MIN(1,data[[#This Row],[Hfin corrigée]])-data[[#This Row],[Hdébut corrigé]])-data[[#This Row],[NUIT1.1]]-data[[#This Row],[NUIT1.2]])</f>
        <v>0</v>
      </c>
      <c r="O7" s="45">
        <f>IF(data[[#This Row],[Hfin Interv.]]="",0,(
MIN(FinNuit,MIN(1,data[[#This Row],[Hfin corrigée]]))-MIN(FinNuit,data[[#This Row],[Hdébut corrigé]])
))</f>
        <v>0</v>
      </c>
      <c r="P7" s="45">
        <f>MAX(0,(MAX(0,(MIN(1,data[[#This Row],[Hfin corrigée]])-DebNuit))-MAX(0,(data[[#This Row],[Hdébut corrigé]]-DebNuit))))</f>
        <v>0</v>
      </c>
      <c r="Q7" s="44" t="str">
        <f>IF(OR(WEEKDAY(data[[#This Row],[Date]]+data[[#This Row],[Hfin corrigée]],2)=7,COUNTIF(JF,INT(data[[#This Row],[Date]]+data[[#This Row],[Hfin corrigée]]))=1),"oui","non")</f>
        <v>non</v>
      </c>
      <c r="R7" s="45">
        <f>MAX(0,data[[#This Row],[Hfin corrigée]]-MAX(1,data[[#This Row],[Hdébut corrigé]]))-data[[#This Row],[NUIT2.1]]-data[[#This Row],[NUIT2.2]]</f>
        <v>2.0833333333333259E-2</v>
      </c>
      <c r="S7" s="45">
        <f>MAX(0,MIN(1+FinNuit,data[[#This Row],[Hfin corrigée]])-MAX(1,data[[#This Row],[Hdébut corrigé]]))</f>
        <v>0.1458333333333337</v>
      </c>
      <c r="T7" s="45">
        <f>MAX(0,(data[[#This Row],[Hfin corrigée]]-DebNuit-1))</f>
        <v>0</v>
      </c>
      <c r="U7" s="45">
        <f>IF(data[[#This Row],[Garde / Interv.]]="Intervention",MAX(0,data[[#This Row],[Hfin corrigée]]-SUMPRODUCT((data[Date]=data[[#This Row],[Date]])*(data[Garde / Interv.]="Garde")*data[Hfin corrigée])),0)</f>
        <v>0</v>
      </c>
      <c r="V7" s="46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7" s="47">
        <f>TAUX1*data[[#This Row],[Durée sans interv.]]*24</f>
        <v>0</v>
      </c>
      <c r="X7" s="46">
        <f>MAX(0,IF(data[[#This Row],[Garde / Interv.]]="Intervention",(data[[#This Row],[Fin Dim ou Férié]]="non")*data[[#This Row],[JOUR2]]+(data[[#This Row],[Début Dim ou Férié]]="non")*data[[#This Row],[JOUR1]],0))</f>
        <v>2.0833333333333259E-2</v>
      </c>
      <c r="Y7" s="46">
        <f>IF(data[[#This Row],[Garde / Interv.]]="Intervention",(data[[#This Row],[Fin Dim ou Férié]]="oui")*data[[#This Row],[JOUR2]]+(data[[#This Row],[Début Dim ou Férié]]="oui")*data[[#This Row],[JOUR1]],0)</f>
        <v>0</v>
      </c>
      <c r="Z7" s="46">
        <f>MAX(0,IF(data[[#This Row],[Garde / Interv.]]="Intervention",data[[#This Row],[NUIT1.1]]+data[[#This Row],[NUIT1.2]]+data[[#This Row],[NUIT2.1]]+data[[#This Row],[NUIT2.2]],0))</f>
        <v>0.1458333333333337</v>
      </c>
      <c r="AA7" s="47">
        <f>TAUX2*data[[#This Row],[Durée interv. jour]]*24+TAUX3*data[[#This Row],[Durée interv. dim ou férié]]*24+TAUX4*data[[#This Row],[Durée interv. nuit]]*24</f>
        <v>23.000000000000046</v>
      </c>
    </row>
    <row r="8" spans="1:33" x14ac:dyDescent="0.35">
      <c r="A8" s="3">
        <v>43101</v>
      </c>
      <c r="B8" s="22"/>
      <c r="C8" s="22"/>
      <c r="D8" s="39">
        <v>0.33333333333333331</v>
      </c>
      <c r="E8" s="39">
        <v>0.33333333333333331</v>
      </c>
      <c r="F8" s="39"/>
      <c r="G8" s="39"/>
      <c r="H8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8" s="49">
        <f>data[[#This Row],[Date]]+data[[#This Row],[Hdébut corrigé]]</f>
        <v>43101.333333333336</v>
      </c>
      <c r="J8" s="49">
        <f t="array" ref="J8">SMALL(IF(data[Date Heure Interv.]&gt;data[[#This Row],[Date Heure Interv.]],data[Date Heure Interv.],data[[#This Row],[Date Heure Interv.]]+2),1)</f>
        <v>43101.569444444445</v>
      </c>
      <c r="K8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1.3333333333333333</v>
      </c>
      <c r="L8" s="9" t="str">
        <f>IF(data[[#This Row],[Hdébut garde]]&lt;&gt;"","Garde",IF(data[[#This Row],[Hdébut corrigé]]&lt;&gt;"","Intervention",""))</f>
        <v>Garde</v>
      </c>
      <c r="M8" s="9" t="str">
        <f>IF(OR(WEEKDAY(data[[#This Row],[Date]],2)=7,COUNTIF(JF,data[[#This Row],[Date]])=1),"oui","non")</f>
        <v>oui</v>
      </c>
      <c r="N8" s="10">
        <f>MAX(0,(MIN(1,data[[#This Row],[Hfin corrigée]])-data[[#This Row],[Hdébut corrigé]])-data[[#This Row],[NUIT1.1]]-data[[#This Row],[NUIT1.2]])</f>
        <v>0.58333333333333337</v>
      </c>
      <c r="O8" s="10">
        <f>IF(data[[#This Row],[Hfin Interv.]]="",0,(
MIN(FinNuit,MIN(1,data[[#This Row],[Hfin corrigée]]))-MIN(FinNuit,data[[#This Row],[Hdébut corrigé]])
))</f>
        <v>0</v>
      </c>
      <c r="P8" s="10">
        <f>MAX(0,(MAX(0,(MIN(1,data[[#This Row],[Hfin corrigée]])-DebNuit))-MAX(0,(data[[#This Row],[Hdébut corrigé]]-DebNuit))))</f>
        <v>8.333333333333337E-2</v>
      </c>
      <c r="Q8" s="9" t="str">
        <f>IF(OR(WEEKDAY(data[[#This Row],[Date]]+data[[#This Row],[Hfin corrigée]],2)=7,COUNTIF(JF,INT(data[[#This Row],[Date]]+data[[#This Row],[Hfin corrigée]]))=1),"oui","non")</f>
        <v>non</v>
      </c>
      <c r="R8" s="10">
        <f>MAX(0,data[[#This Row],[Hfin corrigée]]-MAX(1,data[[#This Row],[Hdébut corrigé]]))-data[[#This Row],[NUIT2.1]]-data[[#This Row],[NUIT2.2]]</f>
        <v>4.1666666666666519E-2</v>
      </c>
      <c r="S8" s="10">
        <f>MAX(0,MIN(1+FinNuit,data[[#This Row],[Hfin corrigée]])-MAX(1,data[[#This Row],[Hdébut corrigé]]))</f>
        <v>0.29166666666666674</v>
      </c>
      <c r="T8" s="10">
        <f>MAX(0,(data[[#This Row],[Hfin corrigée]]-DebNuit-1))</f>
        <v>0</v>
      </c>
      <c r="U8" s="10">
        <f>IF(data[[#This Row],[Garde / Interv.]]="Intervention",MAX(0,data[[#This Row],[Hfin corrigée]]-SUMPRODUCT((data[Date]=data[[#This Row],[Date]])*(data[Garde / Interv.]="Garde")*data[Hfin corrigée])),0)</f>
        <v>0</v>
      </c>
      <c r="V8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0.54166666666585828</v>
      </c>
      <c r="W8" s="12">
        <f>TAUX1*data[[#This Row],[Durée sans interv.]]*24</f>
        <v>38.999999999941792</v>
      </c>
      <c r="X8" s="11">
        <f>MAX(0,IF(data[[#This Row],[Garde / Interv.]]="Intervention",(data[[#This Row],[Fin Dim ou Férié]]="non")*data[[#This Row],[JOUR2]]+(data[[#This Row],[Début Dim ou Férié]]="non")*data[[#This Row],[JOUR1]],0))</f>
        <v>0</v>
      </c>
      <c r="Y8" s="11">
        <f>IF(data[[#This Row],[Garde / Interv.]]="Intervention",(data[[#This Row],[Fin Dim ou Férié]]="oui")*data[[#This Row],[JOUR2]]+(data[[#This Row],[Début Dim ou Férié]]="oui")*data[[#This Row],[JOUR1]],0)</f>
        <v>0</v>
      </c>
      <c r="Z8" s="11">
        <f>MAX(0,IF(data[[#This Row],[Garde / Interv.]]="Intervention",data[[#This Row],[NUIT1.1]]+data[[#This Row],[NUIT1.2]]+data[[#This Row],[NUIT2.1]]+data[[#This Row],[NUIT2.2]],0))</f>
        <v>0</v>
      </c>
      <c r="AA8" s="12">
        <f>TAUX2*data[[#This Row],[Durée interv. jour]]*24+TAUX3*data[[#This Row],[Durée interv. dim ou férié]]*24+TAUX4*data[[#This Row],[Durée interv. nuit]]*24</f>
        <v>0</v>
      </c>
      <c r="AB8"/>
      <c r="AC8"/>
      <c r="AD8"/>
      <c r="AE8"/>
      <c r="AF8"/>
      <c r="AG8"/>
    </row>
    <row r="9" spans="1:33" x14ac:dyDescent="0.35">
      <c r="A9" s="3">
        <v>43101</v>
      </c>
      <c r="B9" s="31" t="s">
        <v>3</v>
      </c>
      <c r="C9" s="3"/>
      <c r="D9" s="39"/>
      <c r="E9" s="39"/>
      <c r="F9" s="39">
        <v>0.33333333333333331</v>
      </c>
      <c r="G9" s="39">
        <v>0.56597222222222221</v>
      </c>
      <c r="H9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9" s="49">
        <f>data[[#This Row],[Date]]+data[[#This Row],[Hdébut corrigé]]</f>
        <v>43101.333333333336</v>
      </c>
      <c r="J9" s="49">
        <f t="array" ref="J9">SMALL(IF(data[Date Heure Interv.]&gt;data[[#This Row],[Date Heure Interv.]],data[Date Heure Interv.],data[[#This Row],[Date Heure Interv.]]+2),1)</f>
        <v>43101.569444444445</v>
      </c>
      <c r="K9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0.56944444444525288</v>
      </c>
      <c r="L9" s="32" t="str">
        <f>IF(data[[#This Row],[Hdébut garde]]&lt;&gt;"","Garde",IF(data[[#This Row],[Hdébut corrigé]]&lt;&gt;"","Intervention",""))</f>
        <v>Intervention</v>
      </c>
      <c r="M9" s="33" t="str">
        <f>IF(OR(WEEKDAY(data[[#This Row],[Date]],2)=7,COUNTIF(JF,data[[#This Row],[Date]])=1),"oui","non")</f>
        <v>oui</v>
      </c>
      <c r="N9" s="34">
        <f>MAX(0,(MIN(1,data[[#This Row],[Hfin corrigée]])-data[[#This Row],[Hdébut corrigé]])-data[[#This Row],[NUIT1.1]]-data[[#This Row],[NUIT1.2]])</f>
        <v>0.23611111111191957</v>
      </c>
      <c r="O9" s="34">
        <f>IF(data[[#This Row],[Hfin Interv.]]="",0,(
MIN(FinNuit,MIN(1,data[[#This Row],[Hfin corrigée]]))-MIN(FinNuit,data[[#This Row],[Hdébut corrigé]])
))</f>
        <v>0</v>
      </c>
      <c r="P9" s="34">
        <f>MAX(0,(MAX(0,(MIN(1,data[[#This Row],[Hfin corrigée]])-DebNuit))-MAX(0,(data[[#This Row],[Hdébut corrigé]]-DebNuit))))</f>
        <v>0</v>
      </c>
      <c r="Q9" s="33" t="str">
        <f>IF(OR(WEEKDAY(data[[#This Row],[Date]]+data[[#This Row],[Hfin corrigée]],2)=7,COUNTIF(JF,INT(data[[#This Row],[Date]]+data[[#This Row],[Hfin corrigée]]))=1),"oui","non")</f>
        <v>oui</v>
      </c>
      <c r="R9" s="34">
        <f>MAX(0,data[[#This Row],[Hfin corrigée]]-MAX(1,data[[#This Row],[Hdébut corrigé]]))-data[[#This Row],[NUIT2.1]]-data[[#This Row],[NUIT2.2]]</f>
        <v>0</v>
      </c>
      <c r="S9" s="34">
        <f>MAX(0,MIN(1+FinNuit,data[[#This Row],[Hfin corrigée]])-MAX(1,data[[#This Row],[Hdébut corrigé]]))</f>
        <v>0</v>
      </c>
      <c r="T9" s="34">
        <f>MAX(0,(data[[#This Row],[Hfin corrigée]]-DebNuit-1))</f>
        <v>0</v>
      </c>
      <c r="U9" s="34">
        <f>IF(data[[#This Row],[Garde / Interv.]]="Intervention",MAX(0,data[[#This Row],[Hfin corrigée]]-SUMPRODUCT((data[Date]=data[[#This Row],[Date]])*(data[Garde / Interv.]="Garde")*data[Hfin corrigée])),0)</f>
        <v>0</v>
      </c>
      <c r="V9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9" s="36">
        <f>TAUX1*data[[#This Row],[Durée sans interv.]]*24</f>
        <v>0</v>
      </c>
      <c r="X9" s="35">
        <f>MAX(0,IF(data[[#This Row],[Garde / Interv.]]="Intervention",(data[[#This Row],[Fin Dim ou Férié]]="non")*data[[#This Row],[JOUR2]]+(data[[#This Row],[Début Dim ou Férié]]="non")*data[[#This Row],[JOUR1]],0))</f>
        <v>0</v>
      </c>
      <c r="Y9" s="37">
        <f>IF(data[[#This Row],[Garde / Interv.]]="Intervention",(data[[#This Row],[Fin Dim ou Férié]]="oui")*data[[#This Row],[JOUR2]]+(data[[#This Row],[Début Dim ou Férié]]="oui")*data[[#This Row],[JOUR1]],0)</f>
        <v>0.23611111111191957</v>
      </c>
      <c r="Z9" s="38">
        <f>MAX(0,IF(data[[#This Row],[Garde / Interv.]]="Intervention",data[[#This Row],[NUIT1.1]]+data[[#This Row],[NUIT1.2]]+data[[#This Row],[NUIT2.1]]+data[[#This Row],[NUIT2.2]],0))</f>
        <v>0</v>
      </c>
      <c r="AA9" s="36">
        <f>TAUX2*data[[#This Row],[Durée interv. jour]]*24+TAUX3*data[[#This Row],[Durée interv. dim ou férié]]*24+TAUX4*data[[#This Row],[Durée interv. nuit]]*24</f>
        <v>28.33333333343035</v>
      </c>
      <c r="AB9" s="11"/>
      <c r="AD9" s="4"/>
      <c r="AE9" s="5"/>
      <c r="AF9"/>
      <c r="AG9"/>
    </row>
    <row r="10" spans="1:33" x14ac:dyDescent="0.35">
      <c r="A10" s="3">
        <v>43101</v>
      </c>
      <c r="B10" s="31" t="s">
        <v>3</v>
      </c>
      <c r="C10" s="3"/>
      <c r="D10" s="39"/>
      <c r="E10" s="39"/>
      <c r="F10" s="39">
        <v>0.56944444444444442</v>
      </c>
      <c r="G10" s="39">
        <v>0.70972222222222225</v>
      </c>
      <c r="H10" s="49">
        <f>IF(data[[#This Row],[Hdébut garde]]&lt;&gt;"",
data[[#This Row],[Hdébut garde]],
data[[#This Row],[Hdébut interv.]]+IF(data[[#This Row],[Hdébut interv.]]&lt;SUMPRODUCT((data[Date]=data[[#This Row],[Date]])*data[Hdébut garde]),1,0)
)</f>
        <v>0.56944444444444442</v>
      </c>
      <c r="I10" s="49">
        <f>data[[#This Row],[Date]]+data[[#This Row],[Hdébut corrigé]]</f>
        <v>43101.569444444445</v>
      </c>
      <c r="J10" s="49">
        <f t="array" ref="J10">SMALL(IF(data[Date Heure Interv.]&gt;data[[#This Row],[Date Heure Interv.]],data[Date Heure Interv.],data[[#This Row],[Date Heure Interv.]]+2),1)</f>
        <v>43101.78125</v>
      </c>
      <c r="K10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0.71875</v>
      </c>
      <c r="L10" s="32" t="str">
        <f>IF(data[[#This Row],[Hdébut garde]]&lt;&gt;"","Garde",IF(data[[#This Row],[Hdébut corrigé]]&lt;&gt;"","Intervention",""))</f>
        <v>Intervention</v>
      </c>
      <c r="M10" s="33" t="str">
        <f>IF(OR(WEEKDAY(data[[#This Row],[Date]],2)=7,COUNTIF(JF,data[[#This Row],[Date]])=1),"oui","non")</f>
        <v>oui</v>
      </c>
      <c r="N10" s="34">
        <f>MAX(0,(MIN(1,data[[#This Row],[Hfin corrigée]])-data[[#This Row],[Hdébut corrigé]])-data[[#This Row],[NUIT1.1]]-data[[#This Row],[NUIT1.2]])</f>
        <v>0.14930555555555558</v>
      </c>
      <c r="O10" s="34">
        <f>IF(data[[#This Row],[Hfin Interv.]]="",0,(
MIN(FinNuit,MIN(1,data[[#This Row],[Hfin corrigée]]))-MIN(FinNuit,data[[#This Row],[Hdébut corrigé]])
))</f>
        <v>0</v>
      </c>
      <c r="P10" s="34">
        <f>MAX(0,(MAX(0,(MIN(1,data[[#This Row],[Hfin corrigée]])-DebNuit))-MAX(0,(data[[#This Row],[Hdébut corrigé]]-DebNuit))))</f>
        <v>0</v>
      </c>
      <c r="Q10" s="33" t="str">
        <f>IF(OR(WEEKDAY(data[[#This Row],[Date]]+data[[#This Row],[Hfin corrigée]],2)=7,COUNTIF(JF,INT(data[[#This Row],[Date]]+data[[#This Row],[Hfin corrigée]]))=1),"oui","non")</f>
        <v>oui</v>
      </c>
      <c r="R10" s="34">
        <f>MAX(0,data[[#This Row],[Hfin corrigée]]-MAX(1,data[[#This Row],[Hdébut corrigé]]))-data[[#This Row],[NUIT2.1]]-data[[#This Row],[NUIT2.2]]</f>
        <v>0</v>
      </c>
      <c r="S10" s="34">
        <f>MAX(0,MIN(1+FinNuit,data[[#This Row],[Hfin corrigée]])-MAX(1,data[[#This Row],[Hdébut corrigé]]))</f>
        <v>0</v>
      </c>
      <c r="T10" s="34">
        <f>MAX(0,(data[[#This Row],[Hfin corrigée]]-DebNuit-1))</f>
        <v>0</v>
      </c>
      <c r="U10" s="34">
        <f>IF(data[[#This Row],[Garde / Interv.]]="Intervention",MAX(0,data[[#This Row],[Hfin corrigée]]-SUMPRODUCT((data[Date]=data[[#This Row],[Date]])*(data[Garde / Interv.]="Garde")*data[Hfin corrigée])),0)</f>
        <v>0</v>
      </c>
      <c r="V10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10" s="36">
        <f>TAUX1*data[[#This Row],[Durée sans interv.]]*24</f>
        <v>0</v>
      </c>
      <c r="X10" s="35">
        <f>MAX(0,IF(data[[#This Row],[Garde / Interv.]]="Intervention",(data[[#This Row],[Fin Dim ou Férié]]="non")*data[[#This Row],[JOUR2]]+(data[[#This Row],[Début Dim ou Férié]]="non")*data[[#This Row],[JOUR1]],0))</f>
        <v>0</v>
      </c>
      <c r="Y10" s="37">
        <f>IF(data[[#This Row],[Garde / Interv.]]="Intervention",(data[[#This Row],[Fin Dim ou Férié]]="oui")*data[[#This Row],[JOUR2]]+(data[[#This Row],[Début Dim ou Férié]]="oui")*data[[#This Row],[JOUR1]],0)</f>
        <v>0.14930555555555558</v>
      </c>
      <c r="Z10" s="35">
        <f>MAX(0,IF(data[[#This Row],[Garde / Interv.]]="Intervention",data[[#This Row],[NUIT1.1]]+data[[#This Row],[NUIT1.2]]+data[[#This Row],[NUIT2.1]]+data[[#This Row],[NUIT2.2]],0))</f>
        <v>0</v>
      </c>
      <c r="AA10" s="36">
        <f>TAUX2*data[[#This Row],[Durée interv. jour]]*24+TAUX3*data[[#This Row],[Durée interv. dim ou férié]]*24+TAUX4*data[[#This Row],[Durée interv. nuit]]*24</f>
        <v>17.916666666666671</v>
      </c>
      <c r="AB10" s="11"/>
      <c r="AD10" s="4"/>
      <c r="AE10" s="5"/>
      <c r="AF10"/>
      <c r="AG10"/>
    </row>
    <row r="11" spans="1:33" x14ac:dyDescent="0.35">
      <c r="A11" s="3">
        <v>43101</v>
      </c>
      <c r="B11" s="31" t="s">
        <v>3</v>
      </c>
      <c r="C11" s="3"/>
      <c r="D11" s="39"/>
      <c r="E11" s="39"/>
      <c r="F11" s="39">
        <v>0.78125</v>
      </c>
      <c r="G11" s="39">
        <v>0.84513888888888899</v>
      </c>
      <c r="H11" s="49">
        <f>IF(data[[#This Row],[Hdébut garde]]&lt;&gt;"",
data[[#This Row],[Hdébut garde]],
data[[#This Row],[Hdébut interv.]]+IF(data[[#This Row],[Hdébut interv.]]&lt;SUMPRODUCT((data[Date]=data[[#This Row],[Date]])*data[Hdébut garde]),1,0)
)</f>
        <v>0.78125</v>
      </c>
      <c r="I11" s="49">
        <f>data[[#This Row],[Date]]+data[[#This Row],[Hdébut corrigé]]</f>
        <v>43101.78125</v>
      </c>
      <c r="J11" s="49">
        <f t="array" ref="J11">SMALL(IF(data[Date Heure Interv.]&gt;data[[#This Row],[Date Heure Interv.]],data[Date Heure Interv.],data[[#This Row],[Date Heure Interv.]]+2),1)</f>
        <v>43103.78125</v>
      </c>
      <c r="K11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0.85416666666666663</v>
      </c>
      <c r="L11" s="32" t="str">
        <f>IF(data[[#This Row],[Hdébut garde]]&lt;&gt;"","Garde",IF(data[[#This Row],[Hdébut corrigé]]&lt;&gt;"","Intervention",""))</f>
        <v>Intervention</v>
      </c>
      <c r="M11" s="33" t="str">
        <f>IF(OR(WEEKDAY(data[[#This Row],[Date]],2)=7,COUNTIF(JF,data[[#This Row],[Date]])=1),"oui","non")</f>
        <v>oui</v>
      </c>
      <c r="N11" s="34">
        <f>MAX(0,(MIN(1,data[[#This Row],[Hfin corrigée]])-data[[#This Row],[Hdébut corrigé]])-data[[#This Row],[NUIT1.1]]-data[[#This Row],[NUIT1.2]])</f>
        <v>7.291666666666663E-2</v>
      </c>
      <c r="O11" s="34">
        <f>IF(data[[#This Row],[Hfin Interv.]]="",0,(
MIN(FinNuit,MIN(1,data[[#This Row],[Hfin corrigée]]))-MIN(FinNuit,data[[#This Row],[Hdébut corrigé]])
))</f>
        <v>0</v>
      </c>
      <c r="P11" s="34">
        <f>MAX(0,(MAX(0,(MIN(1,data[[#This Row],[Hfin corrigée]])-DebNuit))-MAX(0,(data[[#This Row],[Hdébut corrigé]]-DebNuit))))</f>
        <v>0</v>
      </c>
      <c r="Q11" s="33" t="str">
        <f>IF(OR(WEEKDAY(data[[#This Row],[Date]]+data[[#This Row],[Hfin corrigée]],2)=7,COUNTIF(JF,INT(data[[#This Row],[Date]]+data[[#This Row],[Hfin corrigée]]))=1),"oui","non")</f>
        <v>oui</v>
      </c>
      <c r="R11" s="34">
        <f>MAX(0,data[[#This Row],[Hfin corrigée]]-MAX(1,data[[#This Row],[Hdébut corrigé]]))-data[[#This Row],[NUIT2.1]]-data[[#This Row],[NUIT2.2]]</f>
        <v>0</v>
      </c>
      <c r="S11" s="34">
        <f>MAX(0,MIN(1+FinNuit,data[[#This Row],[Hfin corrigée]])-MAX(1,data[[#This Row],[Hdébut corrigé]]))</f>
        <v>0</v>
      </c>
      <c r="T11" s="34">
        <f>MAX(0,(data[[#This Row],[Hfin corrigée]]-DebNuit-1))</f>
        <v>0</v>
      </c>
      <c r="U11" s="34">
        <f>IF(data[[#This Row],[Garde / Interv.]]="Intervention",MAX(0,data[[#This Row],[Hfin corrigée]]-SUMPRODUCT((data[Date]=data[[#This Row],[Date]])*(data[Garde / Interv.]="Garde")*data[Hfin corrigée])),0)</f>
        <v>0</v>
      </c>
      <c r="V11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11" s="36">
        <f>TAUX1*data[[#This Row],[Durée sans interv.]]*24</f>
        <v>0</v>
      </c>
      <c r="X11" s="35">
        <f>MAX(0,IF(data[[#This Row],[Garde / Interv.]]="Intervention",(data[[#This Row],[Fin Dim ou Férié]]="non")*data[[#This Row],[JOUR2]]+(data[[#This Row],[Début Dim ou Férié]]="non")*data[[#This Row],[JOUR1]],0))</f>
        <v>0</v>
      </c>
      <c r="Y11" s="37">
        <f>IF(data[[#This Row],[Garde / Interv.]]="Intervention",(data[[#This Row],[Fin Dim ou Férié]]="oui")*data[[#This Row],[JOUR2]]+(data[[#This Row],[Début Dim ou Férié]]="oui")*data[[#This Row],[JOUR1]],0)</f>
        <v>7.291666666666663E-2</v>
      </c>
      <c r="Z11" s="35">
        <f>MAX(0,IF(data[[#This Row],[Garde / Interv.]]="Intervention",data[[#This Row],[NUIT1.1]]+data[[#This Row],[NUIT1.2]]+data[[#This Row],[NUIT2.1]]+data[[#This Row],[NUIT2.2]],0))</f>
        <v>0</v>
      </c>
      <c r="AA11" s="36">
        <f>TAUX2*data[[#This Row],[Durée interv. jour]]*24+TAUX3*data[[#This Row],[Durée interv. dim ou férié]]*24+TAUX4*data[[#This Row],[Durée interv. nuit]]*24</f>
        <v>8.7499999999999964</v>
      </c>
      <c r="AB11" s="11"/>
      <c r="AD11" s="4"/>
      <c r="AE11" s="5"/>
      <c r="AF11"/>
      <c r="AG11"/>
    </row>
    <row r="12" spans="1:33" x14ac:dyDescent="0.35">
      <c r="A12" s="3">
        <v>43295</v>
      </c>
      <c r="B12" s="22"/>
      <c r="C12" s="22"/>
      <c r="D12" s="39">
        <v>0.33333333333333331</v>
      </c>
      <c r="E12" s="39">
        <v>0.33333333333333331</v>
      </c>
      <c r="F12" s="39"/>
      <c r="G12" s="39"/>
      <c r="H12" s="4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12" s="49">
        <f>data[[#This Row],[Date]]+data[[#This Row],[Hdébut corrigé]]</f>
        <v>43295.333333333336</v>
      </c>
      <c r="J12" s="49">
        <f t="array" ref="J12">SMALL(IF(data[Date Heure Interv.]&gt;data[[#This Row],[Date Heure Interv.]],data[Date Heure Interv.],data[[#This Row],[Date Heure Interv.]]+2),1)</f>
        <v>43295.420138888891</v>
      </c>
      <c r="K12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1.3333333333333333</v>
      </c>
      <c r="L12" s="9" t="str">
        <f>IF(data[[#This Row],[Hdébut garde]]&lt;&gt;"","Garde",IF(data[[#This Row],[Hdébut corrigé]]&lt;&gt;"","Intervention",""))</f>
        <v>Garde</v>
      </c>
      <c r="M12" s="9" t="str">
        <f>IF(OR(WEEKDAY(data[[#This Row],[Date]],2)=7,COUNTIF(JF,data[[#This Row],[Date]])=1),"oui","non")</f>
        <v>oui</v>
      </c>
      <c r="N12" s="10">
        <f>MAX(0,(MIN(1,data[[#This Row],[Hfin corrigée]])-data[[#This Row],[Hdébut corrigé]])-data[[#This Row],[NUIT1.1]]-data[[#This Row],[NUIT1.2]])</f>
        <v>0.58333333333333337</v>
      </c>
      <c r="O12" s="10">
        <f>IF(data[[#This Row],[Hfin Interv.]]="",0,(
MIN(FinNuit,MIN(1,data[[#This Row],[Hfin corrigée]]))-MIN(FinNuit,data[[#This Row],[Hdébut corrigé]])
))</f>
        <v>0</v>
      </c>
      <c r="P12" s="10">
        <f>MAX(0,(MAX(0,(MIN(1,data[[#This Row],[Hfin corrigée]])-DebNuit))-MAX(0,(data[[#This Row],[Hdébut corrigé]]-DebNuit))))</f>
        <v>8.333333333333337E-2</v>
      </c>
      <c r="Q12" s="9" t="str">
        <f>IF(OR(WEEKDAY(data[[#This Row],[Date]]+data[[#This Row],[Hfin corrigée]],2)=7,COUNTIF(JF,INT(data[[#This Row],[Date]]+data[[#This Row],[Hfin corrigée]]))=1),"oui","non")</f>
        <v>oui</v>
      </c>
      <c r="R12" s="10">
        <f>MAX(0,data[[#This Row],[Hfin corrigée]]-MAX(1,data[[#This Row],[Hdébut corrigé]]))-data[[#This Row],[NUIT2.1]]-data[[#This Row],[NUIT2.2]]</f>
        <v>4.1666666666666519E-2</v>
      </c>
      <c r="S12" s="10">
        <f>MAX(0,MIN(1+FinNuit,data[[#This Row],[Hfin corrigée]])-MAX(1,data[[#This Row],[Hdébut corrigé]]))</f>
        <v>0.29166666666666674</v>
      </c>
      <c r="T12" s="10">
        <f>MAX(0,(data[[#This Row],[Hfin corrigée]]-DebNuit-1))</f>
        <v>0</v>
      </c>
      <c r="U12" s="10">
        <f>IF(data[[#This Row],[Garde / Interv.]]="Intervention",MAX(0,data[[#This Row],[Hfin corrigée]]-SUMPRODUCT((data[Date]=data[[#This Row],[Date]])*(data[Garde / Interv.]="Garde")*data[Hfin corrigée])),0)</f>
        <v>0</v>
      </c>
      <c r="V12" s="1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0.61805555555555558</v>
      </c>
      <c r="W12" s="12">
        <f>TAUX1*data[[#This Row],[Durée sans interv.]]*24</f>
        <v>44.5</v>
      </c>
      <c r="X12" s="11">
        <f>MAX(0,IF(data[[#This Row],[Garde / Interv.]]="Intervention",(data[[#This Row],[Fin Dim ou Férié]]="non")*data[[#This Row],[JOUR2]]+(data[[#This Row],[Début Dim ou Férié]]="non")*data[[#This Row],[JOUR1]],0))</f>
        <v>0</v>
      </c>
      <c r="Y12" s="11">
        <f>IF(data[[#This Row],[Garde / Interv.]]="Intervention",(data[[#This Row],[Fin Dim ou Férié]]="oui")*data[[#This Row],[JOUR2]]+(data[[#This Row],[Début Dim ou Férié]]="oui")*data[[#This Row],[JOUR1]],0)</f>
        <v>0</v>
      </c>
      <c r="Z12" s="11">
        <f>MAX(0,IF(data[[#This Row],[Garde / Interv.]]="Intervention",data[[#This Row],[NUIT1.1]]+data[[#This Row],[NUIT1.2]]+data[[#This Row],[NUIT2.1]]+data[[#This Row],[NUIT2.2]],0))</f>
        <v>0</v>
      </c>
      <c r="AA12" s="12">
        <f>TAUX2*data[[#This Row],[Durée interv. jour]]*24+TAUX3*data[[#This Row],[Durée interv. dim ou férié]]*24+TAUX4*data[[#This Row],[Durée interv. nuit]]*24</f>
        <v>0</v>
      </c>
      <c r="AB12"/>
      <c r="AC12"/>
      <c r="AD12"/>
      <c r="AE12"/>
      <c r="AF12"/>
      <c r="AG12"/>
    </row>
    <row r="13" spans="1:33" x14ac:dyDescent="0.35">
      <c r="A13" s="3">
        <v>43295</v>
      </c>
      <c r="B13" s="31" t="s">
        <v>5</v>
      </c>
      <c r="C13" s="3"/>
      <c r="D13" s="39"/>
      <c r="E13" s="39"/>
      <c r="F13" s="39">
        <v>0.4201388888888889</v>
      </c>
      <c r="G13" s="39">
        <v>0.59166666666666667</v>
      </c>
      <c r="H13" s="49">
        <f>IF(data[[#This Row],[Hdébut garde]]&lt;&gt;"",
data[[#This Row],[Hdébut garde]],
data[[#This Row],[Hdébut interv.]]+IF(data[[#This Row],[Hdébut interv.]]&lt;SUMPRODUCT((data[Date]=data[[#This Row],[Date]])*data[Hdébut garde]),1,0)
)</f>
        <v>0.4201388888888889</v>
      </c>
      <c r="I13" s="49">
        <f>data[[#This Row],[Date]]+data[[#This Row],[Hdébut corrigé]]</f>
        <v>43295.420138888891</v>
      </c>
      <c r="J13" s="49">
        <f t="array" ref="J13">SMALL(IF(data[Date Heure Interv.]&gt;data[[#This Row],[Date Heure Interv.]],data[Date Heure Interv.],data[[#This Row],[Date Heure Interv.]]+2),1)</f>
        <v>43295.791666666664</v>
      </c>
      <c r="K13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0.59375</v>
      </c>
      <c r="L13" s="32" t="str">
        <f>IF(data[[#This Row],[Hdébut garde]]&lt;&gt;"","Garde",IF(data[[#This Row],[Hdébut corrigé]]&lt;&gt;"","Intervention",""))</f>
        <v>Intervention</v>
      </c>
      <c r="M13" s="33" t="str">
        <f>IF(OR(WEEKDAY(data[[#This Row],[Date]],2)=7,COUNTIF(JF,data[[#This Row],[Date]])=1),"oui","non")</f>
        <v>oui</v>
      </c>
      <c r="N13" s="34">
        <f>MAX(0,(MIN(1,data[[#This Row],[Hfin corrigée]])-data[[#This Row],[Hdébut corrigé]])-data[[#This Row],[NUIT1.1]]-data[[#This Row],[NUIT1.2]])</f>
        <v>0.1736111111111111</v>
      </c>
      <c r="O13" s="34">
        <f>IF(data[[#This Row],[Hfin Interv.]]="",0,(
MIN(FinNuit,MIN(1,data[[#This Row],[Hfin corrigée]]))-MIN(FinNuit,data[[#This Row],[Hdébut corrigé]])
))</f>
        <v>0</v>
      </c>
      <c r="P13" s="34">
        <f>MAX(0,(MAX(0,(MIN(1,data[[#This Row],[Hfin corrigée]])-DebNuit))-MAX(0,(data[[#This Row],[Hdébut corrigé]]-DebNuit))))</f>
        <v>0</v>
      </c>
      <c r="Q13" s="33" t="str">
        <f>IF(OR(WEEKDAY(data[[#This Row],[Date]]+data[[#This Row],[Hfin corrigée]],2)=7,COUNTIF(JF,INT(data[[#This Row],[Date]]+data[[#This Row],[Hfin corrigée]]))=1),"oui","non")</f>
        <v>oui</v>
      </c>
      <c r="R13" s="34">
        <f>MAX(0,data[[#This Row],[Hfin corrigée]]-MAX(1,data[[#This Row],[Hdébut corrigé]]))-data[[#This Row],[NUIT2.1]]-data[[#This Row],[NUIT2.2]]</f>
        <v>0</v>
      </c>
      <c r="S13" s="34">
        <f>MAX(0,MIN(1+FinNuit,data[[#This Row],[Hfin corrigée]])-MAX(1,data[[#This Row],[Hdébut corrigé]]))</f>
        <v>0</v>
      </c>
      <c r="T13" s="34">
        <f>MAX(0,(data[[#This Row],[Hfin corrigée]]-DebNuit-1))</f>
        <v>0</v>
      </c>
      <c r="U13" s="34">
        <f>IF(data[[#This Row],[Garde / Interv.]]="Intervention",MAX(0,data[[#This Row],[Hfin corrigée]]-SUMPRODUCT((data[Date]=data[[#This Row],[Date]])*(data[Garde / Interv.]="Garde")*data[Hfin corrigée])),0)</f>
        <v>0</v>
      </c>
      <c r="V13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13" s="36">
        <f>TAUX1*data[[#This Row],[Durée sans interv.]]*24</f>
        <v>0</v>
      </c>
      <c r="X13" s="35">
        <f>MAX(0,IF(data[[#This Row],[Garde / Interv.]]="Intervention",(data[[#This Row],[Fin Dim ou Férié]]="non")*data[[#This Row],[JOUR2]]+(data[[#This Row],[Début Dim ou Férié]]="non")*data[[#This Row],[JOUR1]],0))</f>
        <v>0</v>
      </c>
      <c r="Y13" s="37">
        <f>IF(data[[#This Row],[Garde / Interv.]]="Intervention",(data[[#This Row],[Fin Dim ou Férié]]="oui")*data[[#This Row],[JOUR2]]+(data[[#This Row],[Début Dim ou Férié]]="oui")*data[[#This Row],[JOUR1]],0)</f>
        <v>0.1736111111111111</v>
      </c>
      <c r="Z13" s="35">
        <f>MAX(0,IF(data[[#This Row],[Garde / Interv.]]="Intervention",data[[#This Row],[NUIT1.1]]+data[[#This Row],[NUIT1.2]]+data[[#This Row],[NUIT2.1]]+data[[#This Row],[NUIT2.2]],0))</f>
        <v>0</v>
      </c>
      <c r="AA13" s="36">
        <f>TAUX2*data[[#This Row],[Durée interv. jour]]*24+TAUX3*data[[#This Row],[Durée interv. dim ou férié]]*24+TAUX4*data[[#This Row],[Durée interv. nuit]]*24</f>
        <v>20.833333333333336</v>
      </c>
      <c r="AB13" s="11"/>
      <c r="AD13" s="4"/>
      <c r="AE13" s="5"/>
      <c r="AF13"/>
      <c r="AG13"/>
    </row>
    <row r="14" spans="1:33" x14ac:dyDescent="0.35">
      <c r="A14" s="3">
        <v>43295</v>
      </c>
      <c r="B14" s="31" t="s">
        <v>5</v>
      </c>
      <c r="C14" s="3"/>
      <c r="D14" s="39"/>
      <c r="E14" s="39"/>
      <c r="F14" s="39">
        <v>0.79166666666666663</v>
      </c>
      <c r="G14" s="39">
        <v>0.99861111111111101</v>
      </c>
      <c r="H14" s="49">
        <f>IF(data[[#This Row],[Hdébut garde]]&lt;&gt;"",
data[[#This Row],[Hdébut garde]],
data[[#This Row],[Hdébut interv.]]+IF(data[[#This Row],[Hdébut interv.]]&lt;SUMPRODUCT((data[Date]=data[[#This Row],[Date]])*data[Hdébut garde]),1,0)
)</f>
        <v>0.79166666666666663</v>
      </c>
      <c r="I14" s="49">
        <f>data[[#This Row],[Date]]+data[[#This Row],[Hdébut corrigé]]</f>
        <v>43295.791666666664</v>
      </c>
      <c r="J14" s="49">
        <f t="array" ref="J14">SMALL(IF(data[Date Heure Interv.]&gt;data[[#This Row],[Date Heure Interv.]],data[Date Heure Interv.],data[[#This Row],[Date Heure Interv.]]+2),1)</f>
        <v>43297.791666666664</v>
      </c>
      <c r="K14" s="49">
        <f>IF(data[[#This Row],[Hfin garde]]&lt;&gt;"",
data[[#This Row],[Hfin garde]]+IF(data[[#This Row],[Hfin garde]]&lt;=data[[#This Row],[Hdébut garde]],1,0),
IF(data[[#This Row],[Hfin Interv.]]="",0,MIN(data[[#This Row],[Prochaine interv.]]-data[[#This Row],[Date]],ROUNDUP(data[[#This Row],[Hfin Interv.]]*24*4,0)/4/24)+IF(data[[#This Row],[Hfin Interv.]]&gt;data[[#This Row],[Hdébut interv.]],0,1))+IF(data[[#This Row],[Hdébut interv.]]&lt;SUMPRODUCT((data[Date]=data[[#This Row],[Date]])*data[Hdébut garde]),1,0)
)</f>
        <v>1</v>
      </c>
      <c r="L14" s="32" t="str">
        <f>IF(data[[#This Row],[Hdébut garde]]&lt;&gt;"","Garde",IF(data[[#This Row],[Hdébut corrigé]]&lt;&gt;"","Intervention",""))</f>
        <v>Intervention</v>
      </c>
      <c r="M14" s="33" t="str">
        <f>IF(OR(WEEKDAY(data[[#This Row],[Date]],2)=7,COUNTIF(JF,data[[#This Row],[Date]])=1),"oui","non")</f>
        <v>oui</v>
      </c>
      <c r="N14" s="34">
        <f>MAX(0,(MIN(1,data[[#This Row],[Hfin corrigée]])-data[[#This Row],[Hdébut corrigé]])-data[[#This Row],[NUIT1.1]]-data[[#This Row],[NUIT1.2]])</f>
        <v>0.125</v>
      </c>
      <c r="O14" s="34">
        <f>IF(data[[#This Row],[Hfin Interv.]]="",0,(
MIN(FinNuit,MIN(1,data[[#This Row],[Hfin corrigée]]))-MIN(FinNuit,data[[#This Row],[Hdébut corrigé]])
))</f>
        <v>0</v>
      </c>
      <c r="P14" s="34">
        <f>MAX(0,(MAX(0,(MIN(1,data[[#This Row],[Hfin corrigée]])-DebNuit))-MAX(0,(data[[#This Row],[Hdébut corrigé]]-DebNuit))))</f>
        <v>8.333333333333337E-2</v>
      </c>
      <c r="Q14" s="33" t="str">
        <f>IF(OR(WEEKDAY(data[[#This Row],[Date]]+data[[#This Row],[Hfin corrigée]],2)=7,COUNTIF(JF,INT(data[[#This Row],[Date]]+data[[#This Row],[Hfin corrigée]]))=1),"oui","non")</f>
        <v>oui</v>
      </c>
      <c r="R14" s="34">
        <f>MAX(0,data[[#This Row],[Hfin corrigée]]-MAX(1,data[[#This Row],[Hdébut corrigé]]))-data[[#This Row],[NUIT2.1]]-data[[#This Row],[NUIT2.2]]</f>
        <v>0</v>
      </c>
      <c r="S14" s="34">
        <f>MAX(0,MIN(1+FinNuit,data[[#This Row],[Hfin corrigée]])-MAX(1,data[[#This Row],[Hdébut corrigé]]))</f>
        <v>0</v>
      </c>
      <c r="T14" s="34">
        <f>MAX(0,(data[[#This Row],[Hfin corrigée]]-DebNuit-1))</f>
        <v>0</v>
      </c>
      <c r="U14" s="34">
        <f>IF(data[[#This Row],[Garde / Interv.]]="Intervention",MAX(0,data[[#This Row],[Hfin corrigée]]-SUMPRODUCT((data[Date]=data[[#This Row],[Date]])*(data[Garde / Interv.]="Garde")*data[Hfin corrigée])),0)</f>
        <v>0</v>
      </c>
      <c r="V14" s="35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W14" s="36">
        <f>TAUX1*data[[#This Row],[Durée sans interv.]]*24</f>
        <v>0</v>
      </c>
      <c r="X14" s="35">
        <f>MAX(0,IF(data[[#This Row],[Garde / Interv.]]="Intervention",(data[[#This Row],[Fin Dim ou Férié]]="non")*data[[#This Row],[JOUR2]]+(data[[#This Row],[Début Dim ou Férié]]="non")*data[[#This Row],[JOUR1]],0))</f>
        <v>0</v>
      </c>
      <c r="Y14" s="37">
        <f>IF(data[[#This Row],[Garde / Interv.]]="Intervention",(data[[#This Row],[Fin Dim ou Férié]]="oui")*data[[#This Row],[JOUR2]]+(data[[#This Row],[Début Dim ou Férié]]="oui")*data[[#This Row],[JOUR1]],0)</f>
        <v>0.125</v>
      </c>
      <c r="Z14" s="35">
        <f>MAX(0,IF(data[[#This Row],[Garde / Interv.]]="Intervention",data[[#This Row],[NUIT1.1]]+data[[#This Row],[NUIT1.2]]+data[[#This Row],[NUIT2.1]]+data[[#This Row],[NUIT2.2]],0))</f>
        <v>8.333333333333337E-2</v>
      </c>
      <c r="AA14" s="36">
        <f>TAUX2*data[[#This Row],[Durée interv. jour]]*24+TAUX3*data[[#This Row],[Durée interv. dim ou férié]]*24+TAUX4*data[[#This Row],[Durée interv. nuit]]*24</f>
        <v>27.000000000000007</v>
      </c>
      <c r="AB14" s="11"/>
      <c r="AD14" s="4"/>
      <c r="AE14" s="5"/>
      <c r="AF14"/>
      <c r="AG14"/>
    </row>
  </sheetData>
  <dataValidations disablePrompts="1" count="1">
    <dataValidation type="list" allowBlank="1" showInputMessage="1" showErrorMessage="1" sqref="B2:B14">
      <formula1>véhicule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1" sqref="B1:B1048576"/>
    </sheetView>
  </sheetViews>
  <sheetFormatPr baseColWidth="10" defaultRowHeight="14.5" x14ac:dyDescent="0.35"/>
  <sheetData>
    <row r="1" spans="1:2" x14ac:dyDescent="0.35">
      <c r="A1">
        <v>9</v>
      </c>
      <c r="B1">
        <f t="array" ref="B1">SMALL(IF($A$1:$A$8&gt;A1,$A$1:$A$8,10),1)</f>
        <v>10</v>
      </c>
    </row>
    <row r="2" spans="1:2" x14ac:dyDescent="0.35">
      <c r="A2">
        <v>3</v>
      </c>
      <c r="B2">
        <f t="array" ref="B2">SMALL(IF($A$1:$A$8&gt;A2,$A$1:$A$8,10),1)</f>
        <v>4</v>
      </c>
    </row>
    <row r="3" spans="1:2" x14ac:dyDescent="0.35">
      <c r="A3">
        <v>5</v>
      </c>
      <c r="B3">
        <f t="array" ref="B3">SMALL(IF($A$1:$A$8&gt;A3,$A$1:$A$8,10),1)</f>
        <v>9</v>
      </c>
    </row>
    <row r="4" spans="1:2" x14ac:dyDescent="0.35">
      <c r="A4">
        <v>4</v>
      </c>
      <c r="B4">
        <f t="array" ref="B4">SMALL(IF($A$1:$A$8&gt;A4,$A$1:$A$8,10),1)</f>
        <v>5</v>
      </c>
    </row>
    <row r="5" spans="1:2" x14ac:dyDescent="0.35">
      <c r="B5">
        <f t="array" ref="B5">SMALL(IF($A$1:$A$8&gt;A5,$A$1:$A$8,10),1)</f>
        <v>2</v>
      </c>
    </row>
    <row r="6" spans="1:2" x14ac:dyDescent="0.35">
      <c r="B6">
        <f t="array" ref="B6">SMALL(IF($A$1:$A$8&gt;A6,$A$1:$A$8,10),1)</f>
        <v>2</v>
      </c>
    </row>
    <row r="7" spans="1:2" x14ac:dyDescent="0.35">
      <c r="A7">
        <v>9</v>
      </c>
      <c r="B7">
        <f t="array" ref="B7">SMALL(IF($A$1:$A$8&gt;A7,$A$1:$A$8,10),1)</f>
        <v>10</v>
      </c>
    </row>
    <row r="8" spans="1:2" x14ac:dyDescent="0.35">
      <c r="A8">
        <v>2</v>
      </c>
      <c r="B8">
        <f t="array" ref="B8">SMALL(IF($A$1:$A$8&gt;A8,$A$1:$A$8,10),1)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9"/>
  <sheetViews>
    <sheetView workbookViewId="0">
      <selection activeCell="B25" sqref="B25"/>
    </sheetView>
  </sheetViews>
  <sheetFormatPr baseColWidth="10" defaultColWidth="16" defaultRowHeight="14.5" x14ac:dyDescent="0.35"/>
  <cols>
    <col min="1" max="2" width="16" style="59"/>
    <col min="3" max="4" width="16" style="58"/>
    <col min="5" max="9" width="16" style="14"/>
    <col min="10" max="12" width="16" style="61"/>
    <col min="13" max="13" width="16" style="62"/>
    <col min="14" max="14" width="16" style="63"/>
    <col min="15" max="16384" width="16" style="58"/>
  </cols>
  <sheetData>
    <row r="1" spans="1:14" s="57" customFormat="1" x14ac:dyDescent="0.35">
      <c r="A1" s="64" t="s">
        <v>27</v>
      </c>
      <c r="B1" s="64" t="s">
        <v>14</v>
      </c>
      <c r="C1" s="65" t="s">
        <v>21</v>
      </c>
      <c r="D1" s="65" t="s">
        <v>22</v>
      </c>
      <c r="E1" s="65" t="s">
        <v>23</v>
      </c>
      <c r="F1" s="65" t="s">
        <v>24</v>
      </c>
      <c r="G1" s="65" t="s">
        <v>25</v>
      </c>
      <c r="H1" s="65" t="s">
        <v>26</v>
      </c>
    </row>
    <row r="2" spans="1:14" x14ac:dyDescent="0.35">
      <c r="A2" s="59">
        <v>0.16666666666666666</v>
      </c>
      <c r="B2" s="59">
        <v>0.20833333333333334</v>
      </c>
      <c r="C2" s="60">
        <f>MAX(0,(MIN(1,test[[#This Row],[Hfin corrigée]])-test[[#This Row],[Hdébut corrigé]])-test[[#This Row],[NUIT1.1]]-test[[#This Row],[NUIT1.2]])</f>
        <v>0</v>
      </c>
      <c r="D2" s="60">
        <f>MIN(FinNuit,MIN(1,test[[#This Row],[Hfin corrigée]]))-MIN(FinNuit,test[[#This Row],[Hdébut corrigé]])</f>
        <v>4.1666666666666685E-2</v>
      </c>
      <c r="E2" s="60">
        <f>MAX(0,(MAX(0,(MIN(1,test[[#This Row],[Hfin corrigée]])-DebNuit))-MAX(0,(test[[#This Row],[Hdébut corrigé]]-DebNuit))))</f>
        <v>0</v>
      </c>
      <c r="F2" s="60">
        <f>MAX(0,test[[#This Row],[Hfin corrigée]]-MAX(1,test[[#This Row],[Hdébut corrigé]]))-test[[#This Row],[NUIT2.1]]-test[[#This Row],[NUIT2.2]]</f>
        <v>0</v>
      </c>
      <c r="G2" s="60">
        <f>MAX(0,MIN(1+FinNuit,test[[#This Row],[Hfin corrigée]])-MAX(1,test[[#This Row],[Hdébut corrigé]]))</f>
        <v>0</v>
      </c>
      <c r="H2" s="60">
        <f>MAX(0,(test[[#This Row],[Hfin corrigée]]-DebNuit-1))</f>
        <v>0</v>
      </c>
      <c r="I2" s="58"/>
      <c r="J2" s="58"/>
      <c r="K2" s="58"/>
      <c r="L2" s="58"/>
      <c r="M2" s="58"/>
      <c r="N2" s="58"/>
    </row>
    <row r="3" spans="1:14" x14ac:dyDescent="0.35">
      <c r="A3" s="59">
        <v>0.16666666666666666</v>
      </c>
      <c r="B3" s="59">
        <v>0.375</v>
      </c>
      <c r="C3" s="60">
        <f>MAX(0,(MIN(1,test[[#This Row],[Hfin corrigée]])-test[[#This Row],[Hdébut corrigé]])-test[[#This Row],[NUIT1.1]]-test[[#This Row],[NUIT1.2]])</f>
        <v>8.3333333333333315E-2</v>
      </c>
      <c r="D3" s="60">
        <f>MIN(FinNuit,MIN(1,test[[#This Row],[Hfin corrigée]]))-MIN(FinNuit,test[[#This Row],[Hdébut corrigé]])</f>
        <v>0.12500000000000003</v>
      </c>
      <c r="E3" s="60">
        <f>MAX(0,(MAX(0,(MIN(1,test[[#This Row],[Hfin corrigée]])-DebNuit))-MAX(0,(test[[#This Row],[Hdébut corrigé]]-DebNuit))))</f>
        <v>0</v>
      </c>
      <c r="F3" s="60">
        <f>MAX(0,test[[#This Row],[Hfin corrigée]]-MAX(1,test[[#This Row],[Hdébut corrigé]]))-test[[#This Row],[NUIT2.1]]-test[[#This Row],[NUIT2.2]]</f>
        <v>0</v>
      </c>
      <c r="G3" s="60">
        <f>MAX(0,MIN(1+FinNuit,test[[#This Row],[Hfin corrigée]])-MAX(1,test[[#This Row],[Hdébut corrigé]]))</f>
        <v>0</v>
      </c>
      <c r="H3" s="60">
        <f>MAX(0,(test[[#This Row],[Hfin corrigée]]-DebNuit-1))</f>
        <v>0</v>
      </c>
      <c r="I3" s="58"/>
      <c r="J3" s="58"/>
      <c r="K3" s="58"/>
      <c r="L3" s="58"/>
      <c r="M3" s="58"/>
      <c r="N3" s="58"/>
    </row>
    <row r="4" spans="1:14" x14ac:dyDescent="0.35">
      <c r="A4" s="59">
        <v>0.16666666666666666</v>
      </c>
      <c r="B4" s="59">
        <v>0.75</v>
      </c>
      <c r="C4" s="61">
        <f>MAX(0,(MIN(1,test[[#This Row],[Hfin corrigée]])-test[[#This Row],[Hdébut corrigé]])-test[[#This Row],[NUIT1.1]]-test[[#This Row],[NUIT1.2]])</f>
        <v>0.45833333333333337</v>
      </c>
      <c r="D4" s="61">
        <f>MIN(FinNuit,MIN(1,test[[#This Row],[Hfin corrigée]]))-MIN(FinNuit,test[[#This Row],[Hdébut corrigé]])</f>
        <v>0.12500000000000003</v>
      </c>
      <c r="E4" s="61">
        <f>MAX(0,(MAX(0,(MIN(1,test[[#This Row],[Hfin corrigée]])-DebNuit))-MAX(0,(test[[#This Row],[Hdébut corrigé]]-DebNuit))))</f>
        <v>0</v>
      </c>
      <c r="F4" s="61">
        <f>MAX(0,test[[#This Row],[Hfin corrigée]]-MAX(1,test[[#This Row],[Hdébut corrigé]]))-test[[#This Row],[NUIT2.1]]-test[[#This Row],[NUIT2.2]]</f>
        <v>0</v>
      </c>
      <c r="G4" s="61">
        <f>MAX(0,MIN(1+FinNuit,test[[#This Row],[Hfin corrigée]])-MAX(1,test[[#This Row],[Hdébut corrigé]]))</f>
        <v>0</v>
      </c>
      <c r="H4" s="61">
        <f>MAX(0,(test[[#This Row],[Hfin corrigée]]-DebNuit-1))</f>
        <v>0</v>
      </c>
    </row>
    <row r="5" spans="1:14" x14ac:dyDescent="0.35">
      <c r="A5" s="59">
        <v>0.33333333333333331</v>
      </c>
      <c r="B5" s="59">
        <v>0.95833333333333337</v>
      </c>
      <c r="C5" s="61">
        <f>MAX(0,(MIN(1,test[[#This Row],[Hfin corrigée]])-test[[#This Row],[Hdébut corrigé]])-test[[#This Row],[NUIT1.1]]-test[[#This Row],[NUIT1.2]])</f>
        <v>0.58333333333333326</v>
      </c>
      <c r="D5" s="61">
        <f>MIN(FinNuit,MIN(1,test[[#This Row],[Hfin corrigée]]))-MIN(FinNuit,test[[#This Row],[Hdébut corrigé]])</f>
        <v>0</v>
      </c>
      <c r="E5" s="61">
        <f>MAX(0,(MAX(0,(MIN(1,test[[#This Row],[Hfin corrigée]])-DebNuit))-MAX(0,(test[[#This Row],[Hdébut corrigé]]-DebNuit))))</f>
        <v>4.1666666666666741E-2</v>
      </c>
      <c r="F5" s="61">
        <f>MAX(0,test[[#This Row],[Hfin corrigée]]-MAX(1,test[[#This Row],[Hdébut corrigé]]))-test[[#This Row],[NUIT2.1]]-test[[#This Row],[NUIT2.2]]</f>
        <v>0</v>
      </c>
      <c r="G5" s="61">
        <f>MAX(0,MIN(1+FinNuit,test[[#This Row],[Hfin corrigée]])-MAX(1,test[[#This Row],[Hdébut corrigé]]))</f>
        <v>0</v>
      </c>
      <c r="H5" s="61">
        <f>MAX(0,(test[[#This Row],[Hfin corrigée]]-DebNuit-1))</f>
        <v>0</v>
      </c>
    </row>
    <row r="6" spans="1:14" x14ac:dyDescent="0.35">
      <c r="A6" s="59">
        <v>1.0416666666666667</v>
      </c>
      <c r="B6" s="59">
        <v>1.3333333333333333</v>
      </c>
      <c r="C6" s="61">
        <f>MAX(0,(MIN(1,test[[#This Row],[Hfin corrigée]])-test[[#This Row],[Hdébut corrigé]])-test[[#This Row],[NUIT1.1]]-test[[#This Row],[NUIT1.2]])</f>
        <v>0</v>
      </c>
      <c r="D6" s="61">
        <f>MIN(FinNuit,MIN(1,test[[#This Row],[Hfin corrigée]]))-MIN(FinNuit,test[[#This Row],[Hdébut corrigé]])</f>
        <v>0</v>
      </c>
      <c r="E6" s="61">
        <f>MAX(0,(MAX(0,(MIN(1,test[[#This Row],[Hfin corrigée]])-DebNuit))-MAX(0,(test[[#This Row],[Hdébut corrigé]]-DebNuit))))</f>
        <v>0</v>
      </c>
      <c r="F6" s="61">
        <f>MAX(0,test[[#This Row],[Hfin corrigée]]-MAX(1,test[[#This Row],[Hdébut corrigé]]))-test[[#This Row],[NUIT2.1]]-test[[#This Row],[NUIT2.2]]</f>
        <v>4.1666666666666519E-2</v>
      </c>
      <c r="G6" s="61">
        <f>MAX(0,MIN(1+FinNuit,test[[#This Row],[Hfin corrigée]])-MAX(1,test[[#This Row],[Hdébut corrigé]]))</f>
        <v>0.25</v>
      </c>
      <c r="H6" s="61">
        <f>MAX(0,(test[[#This Row],[Hfin corrigée]]-DebNuit-1))</f>
        <v>0</v>
      </c>
    </row>
    <row r="7" spans="1:14" x14ac:dyDescent="0.35">
      <c r="A7" s="59">
        <v>0.16666666666666666</v>
      </c>
      <c r="B7" s="59">
        <v>0.95833333333333337</v>
      </c>
      <c r="C7" s="61">
        <f>MAX(0,(MIN(1,test[[#This Row],[Hfin corrigée]])-test[[#This Row],[Hdébut corrigé]])-test[[#This Row],[NUIT1.1]]-test[[#This Row],[NUIT1.2]])</f>
        <v>0.625</v>
      </c>
      <c r="D7" s="61">
        <f>MIN(FinNuit,MIN(1,test[[#This Row],[Hfin corrigée]]))-MIN(FinNuit,test[[#This Row],[Hdébut corrigé]])</f>
        <v>0.12500000000000003</v>
      </c>
      <c r="E7" s="61">
        <f>MAX(0,(MAX(0,(MIN(1,test[[#This Row],[Hfin corrigée]])-DebNuit))-MAX(0,(test[[#This Row],[Hdébut corrigé]]-DebNuit))))</f>
        <v>4.1666666666666741E-2</v>
      </c>
      <c r="F7" s="61">
        <f>MAX(0,test[[#This Row],[Hfin corrigée]]-MAX(1,test[[#This Row],[Hdébut corrigé]]))-test[[#This Row],[NUIT2.1]]-test[[#This Row],[NUIT2.2]]</f>
        <v>0</v>
      </c>
      <c r="G7" s="61">
        <f>MAX(0,MIN(1+FinNuit,test[[#This Row],[Hfin corrigée]])-MAX(1,test[[#This Row],[Hdébut corrigé]]))</f>
        <v>0</v>
      </c>
      <c r="H7" s="61">
        <f>MAX(0,(test[[#This Row],[Hfin corrigée]]-DebNuit-1))</f>
        <v>0</v>
      </c>
    </row>
    <row r="8" spans="1:14" x14ac:dyDescent="0.35">
      <c r="A8" s="59">
        <v>0.5</v>
      </c>
      <c r="B8" s="59">
        <v>1.6666666666666667</v>
      </c>
      <c r="C8" s="61">
        <f>MAX(0,(MIN(1,test[[#This Row],[Hfin corrigée]])-test[[#This Row],[Hdébut corrigé]])-test[[#This Row],[NUIT1.1]]-test[[#This Row],[NUIT1.2]])</f>
        <v>0.41666666666666663</v>
      </c>
      <c r="D8" s="61">
        <f>MIN(FinNuit,MIN(1,test[[#This Row],[Hfin corrigée]]))-MIN(FinNuit,test[[#This Row],[Hdébut corrigé]])</f>
        <v>0</v>
      </c>
      <c r="E8" s="61">
        <f>MAX(0,(MAX(0,(MIN(1,test[[#This Row],[Hfin corrigée]])-DebNuit))-MAX(0,(test[[#This Row],[Hdébut corrigé]]-DebNuit))))</f>
        <v>8.333333333333337E-2</v>
      </c>
      <c r="F8" s="61">
        <f>MAX(0,test[[#This Row],[Hfin corrigée]]-MAX(1,test[[#This Row],[Hdébut corrigé]]))-test[[#This Row],[NUIT2.1]]-test[[#This Row],[NUIT2.2]]</f>
        <v>0.375</v>
      </c>
      <c r="G8" s="61">
        <f>MAX(0,MIN(1+FinNuit,test[[#This Row],[Hfin corrigée]])-MAX(1,test[[#This Row],[Hdébut corrigé]]))</f>
        <v>0.29166666666666674</v>
      </c>
      <c r="H8" s="61">
        <f>MAX(0,(test[[#This Row],[Hfin corrigée]]-DebNuit-1))</f>
        <v>0</v>
      </c>
    </row>
    <row r="9" spans="1:14" x14ac:dyDescent="0.35">
      <c r="A9" s="59">
        <v>0</v>
      </c>
      <c r="B9" s="59">
        <v>2</v>
      </c>
      <c r="C9" s="61">
        <f>MAX(0,(MIN(1,test[[#This Row],[Hfin corrigée]])-test[[#This Row],[Hdébut corrigé]])-test[[#This Row],[NUIT1.1]]-test[[#This Row],[NUIT1.2]])</f>
        <v>0.62499999999999989</v>
      </c>
      <c r="D9" s="61">
        <f>MIN(FinNuit,MIN(1,test[[#This Row],[Hfin corrigée]]))-MIN(FinNuit,test[[#This Row],[Hdébut corrigé]])</f>
        <v>0.29166666666666669</v>
      </c>
      <c r="E9" s="61">
        <f>MAX(0,(MAX(0,(MIN(1,test[[#This Row],[Hfin corrigée]])-DebNuit))-MAX(0,(test[[#This Row],[Hdébut corrigé]]-DebNuit))))</f>
        <v>8.333333333333337E-2</v>
      </c>
      <c r="F9" s="61">
        <f>MAX(0,test[[#This Row],[Hfin corrigée]]-MAX(1,test[[#This Row],[Hdébut corrigé]]))-test[[#This Row],[NUIT2.1]]-test[[#This Row],[NUIT2.2]]</f>
        <v>0.62499999999999978</v>
      </c>
      <c r="G9" s="61">
        <f>MAX(0,MIN(1+FinNuit,test[[#This Row],[Hfin corrigée]])-MAX(1,test[[#This Row],[Hdébut corrigé]]))</f>
        <v>0.29166666666666674</v>
      </c>
      <c r="H9" s="61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9"/>
  <sheetViews>
    <sheetView workbookViewId="0">
      <selection activeCell="D6" sqref="D6"/>
    </sheetView>
  </sheetViews>
  <sheetFormatPr baseColWidth="10" defaultRowHeight="14.5" x14ac:dyDescent="0.35"/>
  <cols>
    <col min="1" max="1" width="11.81640625" bestFit="1" customWidth="1"/>
    <col min="2" max="2" width="7.1796875" bestFit="1" customWidth="1"/>
    <col min="3" max="3" width="7.08984375" customWidth="1"/>
    <col min="4" max="4" width="23.26953125" bestFit="1" customWidth="1"/>
    <col min="5" max="5" width="23.7265625" bestFit="1" customWidth="1"/>
    <col min="6" max="6" width="14.36328125" bestFit="1" customWidth="1"/>
    <col min="7" max="7" width="16.54296875" bestFit="1" customWidth="1"/>
    <col min="8" max="8" width="13" bestFit="1" customWidth="1"/>
  </cols>
  <sheetData>
    <row r="3" spans="1:6" x14ac:dyDescent="0.35">
      <c r="D3" s="24" t="s">
        <v>40</v>
      </c>
    </row>
    <row r="4" spans="1:6" x14ac:dyDescent="0.35">
      <c r="A4" s="24" t="s">
        <v>42</v>
      </c>
      <c r="B4" s="24" t="s">
        <v>43</v>
      </c>
      <c r="C4" s="24" t="s">
        <v>0</v>
      </c>
      <c r="D4" t="s">
        <v>41</v>
      </c>
      <c r="E4" t="s">
        <v>39</v>
      </c>
      <c r="F4" t="s">
        <v>61</v>
      </c>
    </row>
    <row r="5" spans="1:6" x14ac:dyDescent="0.35">
      <c r="A5" t="s">
        <v>44</v>
      </c>
      <c r="B5" t="s">
        <v>57</v>
      </c>
      <c r="C5" s="3" t="s">
        <v>58</v>
      </c>
      <c r="D5" s="27">
        <v>38.75</v>
      </c>
      <c r="E5" s="26">
        <v>55.416666666666671</v>
      </c>
      <c r="F5" s="40">
        <v>94.166666666666671</v>
      </c>
    </row>
    <row r="6" spans="1:6" x14ac:dyDescent="0.35">
      <c r="B6" t="s">
        <v>45</v>
      </c>
      <c r="C6" s="3" t="s">
        <v>46</v>
      </c>
      <c r="D6" s="27">
        <v>37.75</v>
      </c>
      <c r="E6" s="26">
        <v>36.166666666666657</v>
      </c>
      <c r="F6" s="40">
        <v>73.916666666666657</v>
      </c>
    </row>
    <row r="7" spans="1:6" x14ac:dyDescent="0.35">
      <c r="B7" t="s">
        <v>47</v>
      </c>
      <c r="C7" s="3" t="s">
        <v>48</v>
      </c>
      <c r="D7" s="27">
        <v>19.000000000000014</v>
      </c>
      <c r="E7" s="26">
        <v>81.666666666666671</v>
      </c>
      <c r="F7" s="40">
        <v>100.66666666666669</v>
      </c>
    </row>
    <row r="8" spans="1:6" x14ac:dyDescent="0.35">
      <c r="B8" t="s">
        <v>59</v>
      </c>
      <c r="C8" s="3" t="s">
        <v>60</v>
      </c>
      <c r="D8" s="27">
        <v>44.5</v>
      </c>
      <c r="E8" s="26">
        <v>47.833333333333343</v>
      </c>
      <c r="F8" s="40">
        <v>92.333333333333343</v>
      </c>
    </row>
    <row r="9" spans="1:6" x14ac:dyDescent="0.35">
      <c r="A9" t="s">
        <v>36</v>
      </c>
      <c r="D9" s="27">
        <v>140</v>
      </c>
      <c r="E9" s="26">
        <v>221.08333333333334</v>
      </c>
      <c r="F9" s="40">
        <v>361.08333333333337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B9" sqref="B9"/>
    </sheetView>
  </sheetViews>
  <sheetFormatPr baseColWidth="10" defaultRowHeight="14.5" x14ac:dyDescent="0.35"/>
  <cols>
    <col min="1" max="1" width="18.36328125" bestFit="1" customWidth="1"/>
  </cols>
  <sheetData>
    <row r="1" spans="1:17" s="30" customFormat="1" x14ac:dyDescent="0.35">
      <c r="A1" s="28" t="s">
        <v>11</v>
      </c>
      <c r="B1" s="29">
        <v>2018</v>
      </c>
      <c r="C1" s="29">
        <v>2019</v>
      </c>
      <c r="D1" s="29">
        <v>2020</v>
      </c>
      <c r="E1" s="29">
        <v>2021</v>
      </c>
      <c r="F1" s="29">
        <v>2022</v>
      </c>
      <c r="G1" s="29">
        <v>2023</v>
      </c>
      <c r="H1" s="29">
        <v>2024</v>
      </c>
      <c r="I1" s="29">
        <v>2025</v>
      </c>
      <c r="J1" s="29">
        <v>2026</v>
      </c>
      <c r="K1" s="29">
        <v>2027</v>
      </c>
      <c r="L1" s="29">
        <v>2028</v>
      </c>
      <c r="M1" s="29">
        <v>2029</v>
      </c>
      <c r="N1" s="29">
        <v>2030</v>
      </c>
      <c r="O1" s="29">
        <v>2031</v>
      </c>
      <c r="P1" s="29">
        <v>2032</v>
      </c>
      <c r="Q1" s="29">
        <v>2033</v>
      </c>
    </row>
    <row r="2" spans="1:17" x14ac:dyDescent="0.35">
      <c r="A2" s="1" t="s">
        <v>49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5">
      <c r="A3" s="1" t="s">
        <v>50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5">
      <c r="A4" s="1" t="s">
        <v>7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5">
      <c r="A5" s="1" t="s">
        <v>51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5">
      <c r="A6" s="1" t="s">
        <v>52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5">
      <c r="A7" s="1" t="s">
        <v>53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5">
      <c r="A8" s="1" t="s">
        <v>54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5">
      <c r="A9" s="1" t="s">
        <v>55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5">
      <c r="A10" s="1" t="s">
        <v>8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5">
      <c r="A11" s="1" t="s">
        <v>56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5">
      <c r="A12" s="1" t="s">
        <v>9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5">
      <c r="A13" s="1" t="s">
        <v>10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E11" sqref="E11"/>
    </sheetView>
  </sheetViews>
  <sheetFormatPr baseColWidth="10" defaultColWidth="10.90625" defaultRowHeight="14.5" x14ac:dyDescent="0.35"/>
  <cols>
    <col min="1" max="1" width="21.36328125" style="15" bestFit="1" customWidth="1"/>
    <col min="2" max="2" width="10.90625" style="22"/>
    <col min="3" max="16384" width="10.90625" style="15"/>
  </cols>
  <sheetData>
    <row r="1" spans="1:2" x14ac:dyDescent="0.35">
      <c r="A1" s="16" t="s">
        <v>29</v>
      </c>
      <c r="B1" s="21">
        <v>0.29166666666666669</v>
      </c>
    </row>
    <row r="2" spans="1:2" x14ac:dyDescent="0.35">
      <c r="A2" s="16" t="s">
        <v>30</v>
      </c>
      <c r="B2" s="21">
        <v>0.91666666666666663</v>
      </c>
    </row>
    <row r="4" spans="1:2" x14ac:dyDescent="0.35">
      <c r="A4" s="16" t="s">
        <v>31</v>
      </c>
      <c r="B4" s="23">
        <v>3</v>
      </c>
    </row>
    <row r="5" spans="1:2" x14ac:dyDescent="0.35">
      <c r="A5" s="16" t="s">
        <v>32</v>
      </c>
      <c r="B5" s="23">
        <v>4</v>
      </c>
    </row>
    <row r="6" spans="1:2" x14ac:dyDescent="0.35">
      <c r="A6" s="16" t="s">
        <v>33</v>
      </c>
      <c r="B6" s="23">
        <v>5</v>
      </c>
    </row>
    <row r="7" spans="1:2" x14ac:dyDescent="0.35">
      <c r="A7" s="16" t="s">
        <v>34</v>
      </c>
      <c r="B7" s="23">
        <v>6</v>
      </c>
    </row>
    <row r="9" spans="1:2" x14ac:dyDescent="0.35">
      <c r="A9" s="17" t="s">
        <v>28</v>
      </c>
      <c r="B9" s="20" t="s">
        <v>3</v>
      </c>
    </row>
    <row r="10" spans="1:2" x14ac:dyDescent="0.35">
      <c r="A10" s="18"/>
      <c r="B10" s="20" t="s">
        <v>5</v>
      </c>
    </row>
    <row r="11" spans="1:2" x14ac:dyDescent="0.35">
      <c r="A11" s="18"/>
      <c r="B11" s="20" t="s">
        <v>4</v>
      </c>
    </row>
    <row r="12" spans="1:2" x14ac:dyDescent="0.35">
      <c r="A12" s="18"/>
      <c r="B12" s="20" t="s">
        <v>6</v>
      </c>
    </row>
    <row r="13" spans="1:2" x14ac:dyDescent="0.35">
      <c r="A13" s="18"/>
      <c r="B13" s="20"/>
    </row>
    <row r="14" spans="1:2" x14ac:dyDescent="0.35">
      <c r="A14" s="19"/>
      <c r="B14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Données</vt:lpstr>
      <vt:lpstr>Test2</vt:lpstr>
      <vt:lpstr>Test1</vt:lpstr>
      <vt:lpstr>Synthèse</vt:lpstr>
      <vt:lpstr>JoursFériés</vt:lpstr>
      <vt:lpstr>Paramètres</vt:lpstr>
      <vt:lpstr>DebNuit</vt:lpstr>
      <vt:lpstr>FinNuit</vt:lpstr>
      <vt:lpstr>JF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2018-05-30T11:21:01Z</dcterms:modified>
</cp:coreProperties>
</file>