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19200" windowHeight="8030"/>
  </bookViews>
  <sheets>
    <sheet name="Données" sheetId="3" r:id="rId1"/>
    <sheet name="Synthèse" sheetId="6" r:id="rId2"/>
    <sheet name="JoursFériés" sheetId="5" r:id="rId3"/>
    <sheet name="Paramètres" sheetId="2" r:id="rId4"/>
  </sheets>
  <definedNames>
    <definedName name="DebNuit">Paramètres!$B$7</definedName>
    <definedName name="FinNuit">Paramètres!$B$6</definedName>
    <definedName name="garde">Paramètres!$B$1:$B$2</definedName>
    <definedName name="JF">JoursFériés!$B$2:$Q$13</definedName>
    <definedName name="PPoste">Paramètres!$B$4</definedName>
    <definedName name="TAUX1">Paramètres!$B$9</definedName>
    <definedName name="TAUX2">Paramètres!$B$10</definedName>
    <definedName name="TAUX3">Paramètres!$B$11</definedName>
    <definedName name="TAUX4">Paramètres!$B$12</definedName>
    <definedName name="véhicule">Paramètres!$B$14:$B$19</definedName>
  </definedNames>
  <calcPr calcId="152511"/>
  <pivotCaches>
    <pivotCache cacheId="9" r:id="rId5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" i="5" l="1"/>
  <c r="E2" i="5"/>
  <c r="F2" i="5"/>
  <c r="G2" i="5"/>
  <c r="H2" i="5"/>
  <c r="I2" i="5"/>
  <c r="J2" i="5"/>
  <c r="K2" i="5"/>
  <c r="L2" i="5"/>
  <c r="M2" i="5"/>
  <c r="N2" i="5"/>
  <c r="O2" i="5"/>
  <c r="P2" i="5"/>
  <c r="Q2" i="5"/>
  <c r="D3" i="5"/>
  <c r="D4" i="5" s="1"/>
  <c r="E3" i="5"/>
  <c r="E8" i="5" s="1"/>
  <c r="F3" i="5"/>
  <c r="G3" i="5"/>
  <c r="H3" i="5"/>
  <c r="H4" i="5" s="1"/>
  <c r="I3" i="5"/>
  <c r="I8" i="5" s="1"/>
  <c r="J3" i="5"/>
  <c r="K3" i="5"/>
  <c r="L3" i="5"/>
  <c r="L4" i="5" s="1"/>
  <c r="M3" i="5"/>
  <c r="M8" i="5" s="1"/>
  <c r="N3" i="5"/>
  <c r="O3" i="5"/>
  <c r="P3" i="5"/>
  <c r="P4" i="5" s="1"/>
  <c r="Q3" i="5"/>
  <c r="Q4" i="5" s="1"/>
  <c r="F4" i="5"/>
  <c r="G4" i="5"/>
  <c r="J4" i="5"/>
  <c r="K4" i="5"/>
  <c r="N4" i="5"/>
  <c r="O4" i="5"/>
  <c r="D5" i="5"/>
  <c r="E5" i="5"/>
  <c r="F5" i="5"/>
  <c r="G5" i="5"/>
  <c r="H5" i="5"/>
  <c r="I5" i="5"/>
  <c r="J5" i="5"/>
  <c r="K5" i="5"/>
  <c r="L5" i="5"/>
  <c r="M5" i="5"/>
  <c r="N5" i="5"/>
  <c r="O5" i="5"/>
  <c r="P5" i="5"/>
  <c r="Q5" i="5"/>
  <c r="D6" i="5"/>
  <c r="E6" i="5"/>
  <c r="F6" i="5"/>
  <c r="G6" i="5"/>
  <c r="H6" i="5"/>
  <c r="I6" i="5"/>
  <c r="J6" i="5"/>
  <c r="K6" i="5"/>
  <c r="L6" i="5"/>
  <c r="M6" i="5"/>
  <c r="N6" i="5"/>
  <c r="O6" i="5"/>
  <c r="P6" i="5"/>
  <c r="Q6" i="5"/>
  <c r="F7" i="5"/>
  <c r="G7" i="5"/>
  <c r="J7" i="5"/>
  <c r="K7" i="5"/>
  <c r="N7" i="5"/>
  <c r="O7" i="5"/>
  <c r="D8" i="5"/>
  <c r="F8" i="5"/>
  <c r="G8" i="5"/>
  <c r="H8" i="5"/>
  <c r="J8" i="5"/>
  <c r="K8" i="5"/>
  <c r="L8" i="5"/>
  <c r="N8" i="5"/>
  <c r="O8" i="5"/>
  <c r="P8" i="5"/>
  <c r="D9" i="5"/>
  <c r="E9" i="5"/>
  <c r="F9" i="5"/>
  <c r="G9" i="5"/>
  <c r="H9" i="5"/>
  <c r="I9" i="5"/>
  <c r="J9" i="5"/>
  <c r="K9" i="5"/>
  <c r="L9" i="5"/>
  <c r="M9" i="5"/>
  <c r="N9" i="5"/>
  <c r="O9" i="5"/>
  <c r="P9" i="5"/>
  <c r="Q9" i="5"/>
  <c r="D10" i="5"/>
  <c r="E10" i="5"/>
  <c r="F10" i="5"/>
  <c r="G10" i="5"/>
  <c r="H10" i="5"/>
  <c r="I10" i="5"/>
  <c r="J10" i="5"/>
  <c r="K10" i="5"/>
  <c r="L10" i="5"/>
  <c r="M10" i="5"/>
  <c r="N10" i="5"/>
  <c r="O10" i="5"/>
  <c r="P10" i="5"/>
  <c r="Q10" i="5"/>
  <c r="D11" i="5"/>
  <c r="E11" i="5"/>
  <c r="F11" i="5"/>
  <c r="G11" i="5"/>
  <c r="H11" i="5"/>
  <c r="I11" i="5"/>
  <c r="J11" i="5"/>
  <c r="K11" i="5"/>
  <c r="L11" i="5"/>
  <c r="M11" i="5"/>
  <c r="N11" i="5"/>
  <c r="O11" i="5"/>
  <c r="P11" i="5"/>
  <c r="Q11" i="5"/>
  <c r="D12" i="5"/>
  <c r="E12" i="5"/>
  <c r="F12" i="5"/>
  <c r="G12" i="5"/>
  <c r="H12" i="5"/>
  <c r="I12" i="5"/>
  <c r="J12" i="5"/>
  <c r="K12" i="5"/>
  <c r="L12" i="5"/>
  <c r="M12" i="5"/>
  <c r="N12" i="5"/>
  <c r="O12" i="5"/>
  <c r="P12" i="5"/>
  <c r="Q12" i="5"/>
  <c r="D13" i="5"/>
  <c r="E13" i="5"/>
  <c r="F13" i="5"/>
  <c r="G13" i="5"/>
  <c r="H13" i="5"/>
  <c r="I13" i="5"/>
  <c r="J13" i="5"/>
  <c r="K13" i="5"/>
  <c r="L13" i="5"/>
  <c r="M13" i="5"/>
  <c r="N13" i="5"/>
  <c r="O13" i="5"/>
  <c r="P13" i="5"/>
  <c r="Q13" i="5"/>
  <c r="C2" i="5"/>
  <c r="C3" i="5"/>
  <c r="C7" i="5" s="1"/>
  <c r="C5" i="5"/>
  <c r="C6" i="5"/>
  <c r="C9" i="5"/>
  <c r="C10" i="5"/>
  <c r="C11" i="5"/>
  <c r="C12" i="5"/>
  <c r="C13" i="5"/>
  <c r="B13" i="5"/>
  <c r="Q7" i="5" l="1"/>
  <c r="P7" i="5"/>
  <c r="L7" i="5"/>
  <c r="H7" i="5"/>
  <c r="D7" i="5"/>
  <c r="M4" i="5"/>
  <c r="I4" i="5"/>
  <c r="E4" i="5"/>
  <c r="M7" i="5"/>
  <c r="I7" i="5"/>
  <c r="E7" i="5"/>
  <c r="Q8" i="5"/>
  <c r="C8" i="5"/>
  <c r="C4" i="5"/>
  <c r="B2" i="5"/>
  <c r="B10" i="5"/>
  <c r="B3" i="5"/>
  <c r="B11" i="5"/>
  <c r="B6" i="5"/>
  <c r="B12" i="5"/>
  <c r="B5" i="5"/>
  <c r="B9" i="5"/>
  <c r="B8" i="5" l="1"/>
  <c r="B4" i="5"/>
  <c r="B7" i="5"/>
  <c r="J2" i="3" l="1"/>
  <c r="J3" i="3"/>
  <c r="J4" i="3"/>
  <c r="J5" i="3"/>
  <c r="J6" i="3"/>
  <c r="J7" i="3"/>
  <c r="F2" i="3"/>
  <c r="N2" i="3" s="1"/>
  <c r="F3" i="3"/>
  <c r="N3" i="3" s="1"/>
  <c r="F4" i="3"/>
  <c r="N4" i="3" s="1"/>
  <c r="F5" i="3"/>
  <c r="N5" i="3" s="1"/>
  <c r="F6" i="3"/>
  <c r="N6" i="3" s="1"/>
  <c r="F7" i="3"/>
  <c r="N7" i="3" s="1"/>
  <c r="E2" i="3"/>
  <c r="E3" i="3"/>
  <c r="E4" i="3"/>
  <c r="E5" i="3"/>
  <c r="E6" i="3"/>
  <c r="E7" i="3"/>
  <c r="L2" i="3" l="1"/>
  <c r="I5" i="3"/>
  <c r="I2" i="3"/>
  <c r="L5" i="3"/>
  <c r="I3" i="3"/>
  <c r="S3" i="3" s="1"/>
  <c r="T3" i="3" s="1"/>
  <c r="I4" i="3"/>
  <c r="S4" i="3" s="1"/>
  <c r="T4" i="3" s="1"/>
  <c r="I6" i="3"/>
  <c r="S6" i="3" s="1"/>
  <c r="T6" i="3" s="1"/>
  <c r="I7" i="3"/>
  <c r="S7" i="3" s="1"/>
  <c r="T7" i="3" s="1"/>
  <c r="M2" i="3"/>
  <c r="L3" i="3"/>
  <c r="P4" i="3"/>
  <c r="P5" i="3"/>
  <c r="M6" i="3"/>
  <c r="L7" i="3"/>
  <c r="W5" i="3" l="1"/>
  <c r="R5" i="3"/>
  <c r="R2" i="3"/>
  <c r="R6" i="3"/>
  <c r="R3" i="3"/>
  <c r="R7" i="3"/>
  <c r="R4" i="3"/>
  <c r="U2" i="3"/>
  <c r="X2" i="3" s="1"/>
  <c r="W2" i="3"/>
  <c r="V5" i="3"/>
  <c r="U5" i="3"/>
  <c r="X5" i="3" s="1"/>
  <c r="Q4" i="3"/>
  <c r="O4" i="3" s="1"/>
  <c r="P3" i="3"/>
  <c r="M5" i="3"/>
  <c r="K5" i="3" s="1"/>
  <c r="M4" i="3"/>
  <c r="P7" i="3"/>
  <c r="L4" i="3"/>
  <c r="Q6" i="3"/>
  <c r="L6" i="3"/>
  <c r="K6" i="3" s="1"/>
  <c r="Q5" i="3"/>
  <c r="O5" i="3" s="1"/>
  <c r="M7" i="3"/>
  <c r="K7" i="3" s="1"/>
  <c r="P6" i="3"/>
  <c r="M3" i="3"/>
  <c r="Q7" i="3"/>
  <c r="Q3" i="3"/>
  <c r="K2" i="3"/>
  <c r="V2" i="3"/>
  <c r="W4" i="3" l="1"/>
  <c r="W3" i="3"/>
  <c r="W6" i="3"/>
  <c r="O3" i="3"/>
  <c r="W7" i="3"/>
  <c r="K3" i="3"/>
  <c r="O7" i="3"/>
  <c r="U7" i="3" s="1"/>
  <c r="O6" i="3"/>
  <c r="U6" i="3" s="1"/>
  <c r="K4" i="3"/>
  <c r="U4" i="3" s="1"/>
  <c r="Q2" i="3"/>
  <c r="P2" i="3"/>
  <c r="U3" i="3" l="1"/>
  <c r="V3" i="3"/>
  <c r="V4" i="3"/>
  <c r="X4" i="3" s="1"/>
  <c r="V7" i="3"/>
  <c r="X7" i="3" s="1"/>
  <c r="V6" i="3"/>
  <c r="X6" i="3" s="1"/>
  <c r="O2" i="3"/>
  <c r="X3" i="3" l="1"/>
  <c r="S2" i="3"/>
  <c r="T2" i="3" s="1"/>
  <c r="S5" i="3"/>
  <c r="T5" i="3" s="1"/>
</calcChain>
</file>

<file path=xl/comments1.xml><?xml version="1.0" encoding="utf-8"?>
<comments xmlns="http://schemas.openxmlformats.org/spreadsheetml/2006/main">
  <authors>
    <author>Auteur</author>
  </authors>
  <commentList>
    <comment ref="F1" authorId="0" shapeId="0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1 = jour suivant (pour les calculs)</t>
        </r>
      </text>
    </comment>
  </commentList>
</comments>
</file>

<file path=xl/sharedStrings.xml><?xml version="1.0" encoding="utf-8"?>
<sst xmlns="http://schemas.openxmlformats.org/spreadsheetml/2006/main" count="66" uniqueCount="61">
  <si>
    <t>Date</t>
  </si>
  <si>
    <t>Motif</t>
  </si>
  <si>
    <t>Véhicule</t>
  </si>
  <si>
    <t>VSAV</t>
  </si>
  <si>
    <t>FPTL</t>
  </si>
  <si>
    <t>CCF</t>
  </si>
  <si>
    <t>VLOD</t>
  </si>
  <si>
    <t>Lundi de Pâques</t>
  </si>
  <si>
    <t>Assomption</t>
  </si>
  <si>
    <t>Armistice</t>
  </si>
  <si>
    <t>Noël</t>
  </si>
  <si>
    <t>Jours fériés</t>
  </si>
  <si>
    <t>Garde 12 ou 24</t>
  </si>
  <si>
    <t>Garde / Intervention</t>
  </si>
  <si>
    <t>Début Dim ou Férié</t>
  </si>
  <si>
    <t>Fin Dim ou Férié</t>
  </si>
  <si>
    <t>Hfin corrigée</t>
  </si>
  <si>
    <t>Durée sans interv.</t>
  </si>
  <si>
    <t>Durée interv. dim ou férié</t>
  </si>
  <si>
    <t>Durée interv. nuit</t>
  </si>
  <si>
    <t>Durée interv. jour</t>
  </si>
  <si>
    <t>Hdébut interv.</t>
  </si>
  <si>
    <t>Hfin Interv.</t>
  </si>
  <si>
    <t>JOUR1</t>
  </si>
  <si>
    <t>NUIT1.1</t>
  </si>
  <si>
    <t>NUIT1.2</t>
  </si>
  <si>
    <t>JOUR2</t>
  </si>
  <si>
    <t>NUIT2.1</t>
  </si>
  <si>
    <t>NUIT2.2</t>
  </si>
  <si>
    <t>Hdébut corrigé</t>
  </si>
  <si>
    <t>Garde</t>
  </si>
  <si>
    <t>Véhicules</t>
  </si>
  <si>
    <t>Fin Nuit</t>
  </si>
  <si>
    <t>Début Nuit</t>
  </si>
  <si>
    <t>Prise de poste</t>
  </si>
  <si>
    <t>Taux sans interv.</t>
  </si>
  <si>
    <t>Taux interv. jour</t>
  </si>
  <si>
    <t>Taux interv. dim ou férié</t>
  </si>
  <si>
    <t>Taux interv. nuit</t>
  </si>
  <si>
    <t>Interv. hors poste</t>
  </si>
  <si>
    <t>Total général</t>
  </si>
  <si>
    <t>Montant Garde</t>
  </si>
  <si>
    <t>Montant Interv.</t>
  </si>
  <si>
    <t>Somme de Montant Interv.</t>
  </si>
  <si>
    <t>Valeurs</t>
  </si>
  <si>
    <t>Somme de Montant Garde</t>
  </si>
  <si>
    <t>Années</t>
  </si>
  <si>
    <t>Mois</t>
  </si>
  <si>
    <t>2018</t>
  </si>
  <si>
    <t>mai</t>
  </si>
  <si>
    <t>26-mai</t>
  </si>
  <si>
    <t>juin</t>
  </si>
  <si>
    <t>20-juin</t>
  </si>
  <si>
    <t>Premier de l'AN</t>
  </si>
  <si>
    <t>Pâques</t>
  </si>
  <si>
    <t>Fête du travail</t>
  </si>
  <si>
    <t>Victoire de 1945</t>
  </si>
  <si>
    <t>Ascension</t>
  </si>
  <si>
    <t>Pentecôte</t>
  </si>
  <si>
    <t>Fête nationale</t>
  </si>
  <si>
    <t>Toussaint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</si>
</sst>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4" formatCode="_-* #,##0.00\ &quot;€&quot;_-;\-* #,##0.00\ &quot;€&quot;_-;_-* &quot;-&quot;??\ &quot;€&quot;_-;_-@_-"/>
    <numFmt numFmtId="164" formatCode="ddd\ dd\-mm"/>
    <numFmt numFmtId="165" formatCode="[$-40C]General"/>
    <numFmt numFmtId="166" formatCode="[hh]:mm"/>
    <numFmt numFmtId="167" formatCode="ddd\ dd\-mmm\-yyyy"/>
    <numFmt numFmtId="168" formatCode="d\ hh:mm"/>
    <numFmt numFmtId="169" formatCode="#,##0.00\ &quot;€&quot;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charset val="1"/>
    </font>
    <font>
      <sz val="10"/>
      <name val="Courier New"/>
      <family val="3"/>
    </font>
    <font>
      <sz val="10"/>
      <color rgb="FF000000"/>
      <name val="Arial"/>
      <family val="2"/>
    </font>
    <font>
      <sz val="11"/>
      <color indexed="8"/>
      <name val="Calibri"/>
      <family val="2"/>
    </font>
    <font>
      <sz val="10"/>
      <name val="Arial"/>
      <family val="2"/>
      <charset val="204"/>
    </font>
    <font>
      <i/>
      <sz val="11"/>
      <color theme="0" tint="-0.14999847407452621"/>
      <name val="Calibri"/>
      <family val="2"/>
      <scheme val="minor"/>
    </font>
    <font>
      <i/>
      <sz val="11"/>
      <color theme="0" tint="-0.499984740745262"/>
      <name val="Calibri"/>
      <family val="2"/>
      <scheme val="minor"/>
    </font>
    <font>
      <i/>
      <sz val="11"/>
      <color theme="0" tint="-0.34998626667073579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i/>
      <sz val="11"/>
      <name val="Calibri"/>
      <family val="2"/>
      <scheme val="minor"/>
    </font>
    <font>
      <i/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3">
    <xf numFmtId="0" fontId="0" fillId="0" borderId="0"/>
    <xf numFmtId="44" fontId="1" fillId="0" borderId="0" applyFont="0" applyFill="0" applyBorder="0" applyAlignment="0" applyProtection="0"/>
    <xf numFmtId="0" fontId="4" fillId="0" borderId="0">
      <alignment horizontal="left" vertical="center"/>
    </xf>
    <xf numFmtId="1" fontId="4" fillId="0" borderId="0" applyBorder="0" applyProtection="0">
      <alignment horizontal="center" vertical="center"/>
    </xf>
    <xf numFmtId="0" fontId="5" fillId="0" borderId="0"/>
    <xf numFmtId="0" fontId="1" fillId="0" borderId="0"/>
    <xf numFmtId="165" fontId="4" fillId="0" borderId="0"/>
    <xf numFmtId="165" fontId="6" fillId="0" borderId="0"/>
    <xf numFmtId="165" fontId="6" fillId="0" borderId="0"/>
    <xf numFmtId="0" fontId="7" fillId="0" borderId="0"/>
    <xf numFmtId="0" fontId="8" fillId="0" borderId="0"/>
    <xf numFmtId="0" fontId="2" fillId="0" borderId="0"/>
    <xf numFmtId="0" fontId="4" fillId="0" borderId="0">
      <alignment horizontal="left" vertical="center"/>
    </xf>
  </cellStyleXfs>
  <cellXfs count="40">
    <xf numFmtId="0" fontId="0" fillId="0" borderId="0" xfId="0"/>
    <xf numFmtId="164" fontId="5" fillId="0" borderId="0" xfId="4" applyNumberFormat="1"/>
    <xf numFmtId="166" fontId="0" fillId="0" borderId="0" xfId="0" applyNumberFormat="1"/>
    <xf numFmtId="167" fontId="0" fillId="0" borderId="0" xfId="0" applyNumberFormat="1"/>
    <xf numFmtId="166" fontId="10" fillId="0" borderId="0" xfId="0" applyNumberFormat="1" applyFont="1"/>
    <xf numFmtId="44" fontId="10" fillId="0" borderId="0" xfId="1" applyFont="1"/>
    <xf numFmtId="167" fontId="0" fillId="0" borderId="0" xfId="0" applyNumberFormat="1" applyAlignment="1">
      <alignment vertical="center" wrapText="1"/>
    </xf>
    <xf numFmtId="0" fontId="0" fillId="0" borderId="0" xfId="0" applyAlignment="1">
      <alignment vertical="center" wrapText="1"/>
    </xf>
    <xf numFmtId="166" fontId="0" fillId="0" borderId="0" xfId="0" applyNumberFormat="1" applyAlignment="1">
      <alignment vertical="center" wrapText="1"/>
    </xf>
    <xf numFmtId="0" fontId="9" fillId="0" borderId="0" xfId="0" applyFont="1" applyAlignment="1">
      <alignment vertical="center" wrapText="1"/>
    </xf>
    <xf numFmtId="166" fontId="9" fillId="0" borderId="0" xfId="0" applyNumberFormat="1" applyFont="1" applyBorder="1" applyAlignment="1">
      <alignment vertical="center" wrapText="1"/>
    </xf>
    <xf numFmtId="168" fontId="9" fillId="0" borderId="0" xfId="0" applyNumberFormat="1" applyFont="1" applyAlignment="1">
      <alignment vertical="center" wrapText="1"/>
    </xf>
    <xf numFmtId="168" fontId="10" fillId="0" borderId="0" xfId="0" applyNumberFormat="1" applyFont="1"/>
    <xf numFmtId="166" fontId="15" fillId="0" borderId="0" xfId="0" applyNumberFormat="1" applyFont="1" applyAlignment="1">
      <alignment vertical="center" wrapText="1"/>
    </xf>
    <xf numFmtId="44" fontId="15" fillId="0" borderId="0" xfId="1" applyFont="1" applyAlignment="1">
      <alignment vertical="center" wrapText="1"/>
    </xf>
    <xf numFmtId="0" fontId="10" fillId="0" borderId="0" xfId="0" applyFont="1" applyAlignment="1"/>
    <xf numFmtId="166" fontId="11" fillId="0" borderId="0" xfId="0" applyNumberFormat="1" applyFont="1" applyBorder="1" applyAlignment="1"/>
    <xf numFmtId="166" fontId="14" fillId="0" borderId="0" xfId="0" applyNumberFormat="1" applyFont="1" applyAlignment="1"/>
    <xf numFmtId="44" fontId="14" fillId="0" borderId="0" xfId="1" applyFont="1" applyAlignment="1"/>
    <xf numFmtId="0" fontId="0" fillId="0" borderId="0" xfId="0" applyAlignment="1"/>
    <xf numFmtId="0" fontId="16" fillId="0" borderId="0" xfId="0" applyFont="1" applyAlignment="1"/>
    <xf numFmtId="0" fontId="0" fillId="0" borderId="0" xfId="0" applyAlignment="1">
      <alignment vertical="center"/>
    </xf>
    <xf numFmtId="0" fontId="0" fillId="0" borderId="1" xfId="0" applyBorder="1" applyAlignment="1">
      <alignment vertical="center"/>
    </xf>
    <xf numFmtId="0" fontId="0" fillId="0" borderId="2" xfId="0" applyFill="1" applyBorder="1" applyAlignment="1">
      <alignment horizontal="left" vertical="center"/>
    </xf>
    <xf numFmtId="0" fontId="0" fillId="0" borderId="3" xfId="0" applyFill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1" xfId="0" applyFill="1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44" fontId="0" fillId="0" borderId="1" xfId="1" applyFont="1" applyBorder="1" applyAlignment="1">
      <alignment horizontal="center" vertical="center"/>
    </xf>
    <xf numFmtId="0" fontId="16" fillId="0" borderId="0" xfId="0" quotePrefix="1" applyFont="1" applyAlignment="1"/>
    <xf numFmtId="0" fontId="0" fillId="0" borderId="0" xfId="0" pivotButton="1"/>
    <xf numFmtId="44" fontId="16" fillId="0" borderId="0" xfId="1" applyFont="1" applyAlignment="1"/>
    <xf numFmtId="2" fontId="0" fillId="0" borderId="0" xfId="0" applyNumberFormat="1"/>
    <xf numFmtId="169" fontId="0" fillId="0" borderId="0" xfId="0" applyNumberFormat="1"/>
    <xf numFmtId="0" fontId="3" fillId="0" borderId="0" xfId="4" applyFont="1" applyFill="1"/>
    <xf numFmtId="0" fontId="17" fillId="0" borderId="0" xfId="0" applyFont="1" applyFill="1" applyBorder="1" applyAlignment="1">
      <alignment horizontal="center"/>
    </xf>
    <xf numFmtId="0" fontId="0" fillId="0" borderId="0" xfId="0" applyFill="1"/>
  </cellXfs>
  <cellStyles count="13">
    <cellStyle name="Excel Built-in Normal" xfId="6"/>
    <cellStyle name="Monétaire" xfId="1" builtinId="4"/>
    <cellStyle name="Normal" xfId="0" builtinId="0"/>
    <cellStyle name="Normal 2" xfId="7"/>
    <cellStyle name="Normal 2 2" xfId="8"/>
    <cellStyle name="Normal 2 3" xfId="4"/>
    <cellStyle name="Normal 3" xfId="9"/>
    <cellStyle name="Normal 4" xfId="10"/>
    <cellStyle name="Normal 5" xfId="11"/>
    <cellStyle name="Normal 6" xfId="5"/>
    <cellStyle name="Normal 7" xfId="12"/>
    <cellStyle name="Normal 8" xfId="2"/>
    <cellStyle name="Texte explicatif 2" xfId="3"/>
  </cellStyles>
  <dxfs count="22"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34" formatCode="_-* #,##0.00\ &quot;€&quot;_-;\-* #,##0.00\ &quot;€&quot;_-;_-* &quot;-&quot;??\ &quot;€&quot;_-;_-@_-"/>
      <alignment horizontal="general" vertical="bottom" textRotation="0" wrapText="0" indent="0" justifyLastLine="0" shrinkToFit="0" readingOrder="0"/>
    </dxf>
    <dxf>
      <font>
        <i/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34" formatCode="_-* #,##0.00\ &quot;€&quot;_-;\-* #,##0.00\ &quot;€&quot;_-;_-* &quot;-&quot;??\ &quot;€&quot;_-;_-@_-"/>
      <alignment horizontal="general" textRotation="0" indent="0" justifyLastLine="0" shrinkToFit="0" readingOrder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6" formatCode="[hh]:mm"/>
      <alignment horizontal="general" textRotation="0" indent="0" justifyLastLine="0" shrinkToFit="0" readingOrder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0" tint="-0.34998626667073579"/>
        <name val="Calibri"/>
        <scheme val="minor"/>
      </font>
      <numFmt numFmtId="166" formatCode="[hh]:mm"/>
      <alignment horizontal="general" vertical="bottom" textRotation="0" wrapText="0" indent="0" justifyLastLine="0" shrinkToFit="0" readingOrder="0"/>
    </dxf>
    <dxf>
      <font>
        <i/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6" formatCode="[hh]:mm"/>
      <alignment horizontal="general" textRotation="0" indent="0" justifyLastLine="0" shrinkToFit="0" readingOrder="0"/>
    </dxf>
    <dxf>
      <font>
        <i/>
        <strike val="0"/>
        <outline val="0"/>
        <shadow val="0"/>
        <u val="none"/>
        <vertAlign val="baseline"/>
        <sz val="11"/>
        <color theme="0" tint="-0.499984740745262"/>
        <name val="Calibri"/>
        <scheme val="minor"/>
      </font>
      <numFmt numFmtId="0" formatCode="General"/>
      <alignment horizontal="general" vertical="bottom" textRotation="0" wrapText="0" indent="0" justifyLastLine="0" shrinkToFit="0" readingOrder="0"/>
    </dxf>
    <dxf>
      <font>
        <i/>
        <strike val="0"/>
        <outline val="0"/>
        <shadow val="0"/>
        <u val="none"/>
        <vertAlign val="baseline"/>
        <sz val="11"/>
        <color theme="0" tint="-0.499984740745262"/>
        <name val="Calibri"/>
        <scheme val="minor"/>
      </font>
      <numFmt numFmtId="0" formatCode="General"/>
      <alignment horizontal="general" textRotation="0" indent="0" justifyLastLine="0" shrinkToFit="0" readingOrder="0"/>
    </dxf>
    <dxf>
      <font>
        <i/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6" formatCode="[hh]:mm"/>
      <alignment horizontal="general" textRotation="0" indent="0" justifyLastLine="0" shrinkToFit="0" readingOrder="0"/>
    </dxf>
    <dxf>
      <font>
        <i/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6" formatCode="[hh]:mm"/>
      <alignment horizontal="general" textRotation="0" indent="0" justifyLastLine="0" shrinkToFit="0" readingOrder="0"/>
    </dxf>
    <dxf>
      <font>
        <i/>
        <strike val="0"/>
        <outline val="0"/>
        <shadow val="0"/>
        <u val="none"/>
        <vertAlign val="baseline"/>
        <sz val="11"/>
        <color theme="0" tint="-0.34998626667073579"/>
        <name val="Calibri"/>
        <scheme val="minor"/>
      </font>
      <numFmt numFmtId="166" formatCode="[hh]:mm"/>
      <alignment horizontal="general" vertical="bottom" textRotation="0" wrapText="0" indent="0" justifyLastLine="0" shrinkToFit="0" readingOrder="0"/>
    </dxf>
    <dxf>
      <font>
        <i/>
        <strike val="0"/>
        <outline val="0"/>
        <shadow val="0"/>
        <u val="none"/>
        <vertAlign val="baseline"/>
        <sz val="11"/>
        <color theme="0" tint="-0.34998626667073579"/>
        <name val="Calibri"/>
        <scheme val="minor"/>
      </font>
      <numFmt numFmtId="166" formatCode="[hh]:mm"/>
      <alignment horizontal="general" vertical="bottom" textRotation="0" wrapText="0" indent="0" justifyLastLine="0" shrinkToFit="0" readingOrder="0"/>
    </dxf>
    <dxf>
      <font>
        <i/>
        <strike val="0"/>
        <outline val="0"/>
        <shadow val="0"/>
        <u val="none"/>
        <vertAlign val="baseline"/>
        <sz val="11"/>
        <color theme="0" tint="-0.34998626667073579"/>
        <name val="Calibri"/>
        <scheme val="minor"/>
      </font>
      <numFmt numFmtId="166" formatCode="[hh]:mm"/>
      <alignment horizontal="general" vertical="bottom" textRotation="0" wrapText="0" indent="0" justifyLastLine="0" shrinkToFit="0" readingOrder="0"/>
    </dxf>
    <dxf>
      <font>
        <i/>
        <strike val="0"/>
        <outline val="0"/>
        <shadow val="0"/>
        <u val="none"/>
        <vertAlign val="baseline"/>
        <sz val="11"/>
        <color theme="0" tint="-0.34998626667073579"/>
        <name val="Calibri"/>
        <scheme val="minor"/>
      </font>
      <numFmt numFmtId="166" formatCode="[hh]:mm"/>
      <alignment horizontal="general" vertical="bottom" textRotation="0" wrapText="0" indent="0" justifyLastLine="0" shrinkToFit="0" readingOrder="0"/>
    </dxf>
    <dxf>
      <font>
        <i/>
        <strike val="0"/>
        <outline val="0"/>
        <shadow val="0"/>
        <u val="none"/>
        <vertAlign val="baseline"/>
        <sz val="11"/>
        <color theme="0" tint="-0.34998626667073579"/>
        <name val="Calibri"/>
        <scheme val="minor"/>
      </font>
      <numFmt numFmtId="166" formatCode="[hh]:mm"/>
      <alignment horizontal="general" vertical="bottom" textRotation="0" wrapText="0" indent="0" justifyLastLine="0" shrinkToFit="0" readingOrder="0"/>
    </dxf>
    <dxf>
      <font>
        <i/>
        <strike val="0"/>
        <outline val="0"/>
        <shadow val="0"/>
        <u val="none"/>
        <vertAlign val="baseline"/>
        <sz val="11"/>
        <color theme="0" tint="-0.34998626667073579"/>
        <name val="Calibri"/>
        <scheme val="minor"/>
      </font>
      <numFmt numFmtId="166" formatCode="[hh]:mm"/>
      <alignment horizontal="general" vertical="bottom" textRotation="0" wrapText="0" indent="0" justifyLastLine="0" shrinkToFit="0" readingOrder="0"/>
    </dxf>
    <dxf>
      <font>
        <i/>
        <strike val="0"/>
        <outline val="0"/>
        <shadow val="0"/>
        <u val="none"/>
        <vertAlign val="baseline"/>
        <sz val="11"/>
        <color theme="0" tint="-0.499984740745262"/>
        <name val="Calibri"/>
        <scheme val="minor"/>
      </font>
      <alignment horizontal="general" textRotation="0" indent="0" justifyLastLine="0" shrinkToFit="0" readingOrder="0"/>
    </dxf>
    <dxf>
      <font>
        <i/>
        <strike val="0"/>
        <outline val="0"/>
        <shadow val="0"/>
        <u val="none"/>
        <vertAlign val="baseline"/>
        <sz val="11"/>
        <color theme="0" tint="-0.499984740745262"/>
        <name val="Calibri"/>
        <scheme val="minor"/>
      </font>
      <numFmt numFmtId="168" formatCode="d\ hh:mm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0" tint="-0.499984740745262"/>
        <name val="Calibri"/>
        <scheme val="minor"/>
      </font>
      <numFmt numFmtId="166" formatCode="[hh]:mm"/>
    </dxf>
    <dxf>
      <numFmt numFmtId="166" formatCode="[hh]:mm"/>
    </dxf>
    <dxf>
      <numFmt numFmtId="166" formatCode="[hh]:mm"/>
    </dxf>
    <dxf>
      <numFmt numFmtId="167" formatCode="ddd\ dd\-mmm\-yyyy"/>
    </dxf>
    <dxf>
      <alignment horizontal="general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82550</xdr:colOff>
      <xdr:row>3</xdr:row>
      <xdr:rowOff>69850</xdr:rowOff>
    </xdr:from>
    <xdr:to>
      <xdr:col>11</xdr:col>
      <xdr:colOff>254000</xdr:colOff>
      <xdr:row>10</xdr:row>
      <xdr:rowOff>152400</xdr:rowOff>
    </xdr:to>
    <xdr:sp macro="" textlink="">
      <xdr:nvSpPr>
        <xdr:cNvPr id="2" name="ZoneTexte 1"/>
        <xdr:cNvSpPr txBox="1"/>
      </xdr:nvSpPr>
      <xdr:spPr>
        <a:xfrm>
          <a:off x="3098800" y="622300"/>
          <a:ext cx="6267450" cy="13716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Une garde s'effectue à partir de 8h sur une plage horaire de 12 heures ou 24 heures </a:t>
          </a:r>
          <a:r>
            <a:rPr lang="fr-FR"/>
            <a:t/>
          </a:r>
          <a:br>
            <a:rPr lang="fr-FR"/>
          </a:b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Au retour d'une intervention, l'heure d'arrivé est arrondie au quart d'heure supérieur (ex : fin de l'inter. à 10h08=10h15 / fin 14h25=14h30 ainsi de suite )</a:t>
          </a:r>
          <a:r>
            <a:rPr lang="fr-FR"/>
            <a:t/>
          </a:r>
          <a:br>
            <a:rPr lang="fr-FR"/>
          </a:b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Le taux applicable sans aucune intervention lors d'une garde de 12 ou 24h est de 3€</a:t>
          </a:r>
          <a:r>
            <a:rPr lang="fr-FR"/>
            <a:t/>
          </a:r>
          <a:br>
            <a:rPr lang="fr-FR"/>
          </a:b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Le taux applicable en intervention de jour (7h à 22h) est de 4€</a:t>
          </a:r>
          <a:r>
            <a:rPr lang="fr-FR"/>
            <a:t/>
          </a:r>
          <a:br>
            <a:rPr lang="fr-FR"/>
          </a:b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Le taux applicable en intervention lors d'un jour ferié ou le dimanche est de 5€</a:t>
          </a:r>
          <a:r>
            <a:rPr lang="fr-FR"/>
            <a:t/>
          </a:r>
          <a:br>
            <a:rPr lang="fr-FR"/>
          </a:b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Le taux applicable en intervention de nuit (22h à 7h) est de 6€</a:t>
          </a:r>
          <a:endParaRPr lang="fr-FR" sz="1100"/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2" Type="http://schemas.microsoft.com/office/2006/relationships/xlExternalLinkPath/xlPathMissing" Target="tableau%20de%20garde%20suivi%20v1.xlsx" TargetMode="External"/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uteur" refreshedDate="43249.554409606484" createdVersion="5" refreshedVersion="5" minRefreshableVersion="3" recordCount="6">
  <cacheSource type="worksheet">
    <worksheetSource name="data" r:id="rId2"/>
  </cacheSource>
  <cacheFields count="26">
    <cacheField name="Date" numFmtId="167">
      <sharedItems containsSemiMixedTypes="0" containsNonDate="0" containsDate="1" containsString="0" minDate="2018-05-26T00:00:00" maxDate="2018-06-21T00:00:00" count="2">
        <d v="2018-05-26T00:00:00"/>
        <d v="2018-06-20T00:00:00"/>
      </sharedItems>
      <fieldGroup par="25" base="0">
        <rangePr groupBy="days" startDate="2018-05-26T00:00:00" endDate="2018-06-21T00:00:00"/>
        <groupItems count="368">
          <s v="&lt;26/05/2018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21/06/2018"/>
        </groupItems>
      </fieldGroup>
    </cacheField>
    <cacheField name="Garde 12 ou 24" numFmtId="0">
      <sharedItems containsString="0" containsBlank="1" containsNumber="1" containsInteger="1" minValue="24" maxValue="24"/>
    </cacheField>
    <cacheField name="Hdébut interv." numFmtId="166">
      <sharedItems containsNonDate="0" containsDate="1" containsString="0" containsBlank="1" minDate="1899-12-30T03:30:00" maxDate="1899-12-30T21:00:00"/>
    </cacheField>
    <cacheField name="Hfin Interv." numFmtId="166">
      <sharedItems containsNonDate="0" containsDate="1" containsString="0" containsBlank="1" minDate="1899-12-30T01:04:00" maxDate="1899-12-30T23:48:00"/>
    </cacheField>
    <cacheField name="Hdébut corrigé" numFmtId="166">
      <sharedItems containsSemiMixedTypes="0" containsNonDate="0" containsDate="1" containsString="0" minDate="1899-12-30T03:30:00" maxDate="1899-12-30T21:00:00"/>
    </cacheField>
    <cacheField name="Hfin corrigée" numFmtId="168">
      <sharedItems containsSemiMixedTypes="0" containsNonDate="0" containsDate="1" containsString="0" minDate="1899-12-30T07:30:00" maxDate="1899-12-31T08:00:00"/>
    </cacheField>
    <cacheField name="Véhicule" numFmtId="0">
      <sharedItems containsBlank="1"/>
    </cacheField>
    <cacheField name="Motif" numFmtId="0">
      <sharedItems containsNonDate="0" containsString="0" containsBlank="1"/>
    </cacheField>
    <cacheField name="Garde / Intervention" numFmtId="0">
      <sharedItems count="2">
        <s v="Garde"/>
        <s v="Intervention"/>
      </sharedItems>
    </cacheField>
    <cacheField name="Début Dim ou Férié" numFmtId="0">
      <sharedItems/>
    </cacheField>
    <cacheField name="JOUR1" numFmtId="166">
      <sharedItems containsSemiMixedTypes="0" containsNonDate="0" containsDate="1" containsString="0" minDate="1899-12-30T00:30:00" maxDate="1899-12-30T14:00:00"/>
    </cacheField>
    <cacheField name="NUIT1.1" numFmtId="166">
      <sharedItems containsSemiMixedTypes="0" containsNonDate="0" containsDate="1" containsString="0" minDate="1899-12-30T00:00:00" maxDate="1899-12-31T00:00:00"/>
    </cacheField>
    <cacheField name="NUIT1.2" numFmtId="166">
      <sharedItems containsSemiMixedTypes="0" containsNonDate="0" containsDate="1" containsString="0" minDate="1899-12-30T00:00:00" maxDate="1899-12-30T02:00:00"/>
    </cacheField>
    <cacheField name="Fin Dim ou Férié" numFmtId="0">
      <sharedItems/>
    </cacheField>
    <cacheField name="JOUR2" numFmtId="166">
      <sharedItems containsSemiMixedTypes="0" containsNonDate="0" containsDate="1" containsString="0" minDate="1899-12-30T00:00:00" maxDate="1899-12-30T01:00:00"/>
    </cacheField>
    <cacheField name="NUIT2.1" numFmtId="166">
      <sharedItems containsSemiMixedTypes="0" containsNonDate="0" containsDate="1" containsString="0" minDate="1899-12-30T00:00:00" maxDate="1899-12-30T07:00:00"/>
    </cacheField>
    <cacheField name="NUIT2.2" numFmtId="166">
      <sharedItems containsSemiMixedTypes="0" containsNonDate="0" containsDate="1" containsString="0" minDate="1899-12-30T00:00:00" maxDate="1899-12-31T00:00:00"/>
    </cacheField>
    <cacheField name="Interv. hors poste" numFmtId="166">
      <sharedItems containsSemiMixedTypes="0" containsNonDate="0" containsDate="1" containsString="0" minDate="1899-12-30T00:00:00" maxDate="1899-12-31T00:00:00"/>
    </cacheField>
    <cacheField name="Durée sans interv." numFmtId="166">
      <sharedItems containsSemiMixedTypes="0" containsNonDate="0" containsDate="1" containsString="0" minDate="1899-12-30T00:00:00" maxDate="1899-12-30T16:35:00"/>
    </cacheField>
    <cacheField name="Montant Garde" numFmtId="44">
      <sharedItems containsSemiMixedTypes="0" containsString="0" containsNumber="1" minValue="0" maxValue="49.750000000000007" count="3">
        <n v="49.750000000000007"/>
        <n v="0"/>
        <n v="19.000000000000014"/>
      </sharedItems>
    </cacheField>
    <cacheField name="Durée interv. jour" numFmtId="166">
      <sharedItems containsSemiMixedTypes="0" containsNonDate="0" containsDate="1" containsString="0" minDate="1899-12-30T00:00:00" maxDate="1899-12-31T00:00:00"/>
    </cacheField>
    <cacheField name="Durée interv. dim ou férié" numFmtId="166">
      <sharedItems containsSemiMixedTypes="0" containsNonDate="0" containsDate="1" containsString="0" minDate="1899-12-30T00:00:00" maxDate="1899-12-31T00:00:00"/>
    </cacheField>
    <cacheField name="Durée interv. nuit" numFmtId="166">
      <sharedItems containsSemiMixedTypes="0" containsNonDate="0" containsDate="1" containsString="0" minDate="1899-12-30T00:00:00" maxDate="1899-12-31T00:00:00"/>
    </cacheField>
    <cacheField name="Montant Interv." numFmtId="44">
      <sharedItems containsSemiMixedTypes="0" containsString="0" containsNumber="1" minValue="0" maxValue="58.666666666666622" count="5">
        <n v="0"/>
        <n v="23.499999999999989"/>
        <n v="12.666666666666664"/>
        <n v="58.666666666666622"/>
        <n v="23.00000000000005"/>
      </sharedItems>
    </cacheField>
    <cacheField name="Mois" numFmtId="0" databaseField="0">
      <fieldGroup base="0">
        <rangePr groupBy="months" startDate="2018-05-26T00:00:00" endDate="2018-06-21T00:00:00"/>
        <groupItems count="14">
          <s v="&lt;26/05/2018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21/06/2018"/>
        </groupItems>
      </fieldGroup>
    </cacheField>
    <cacheField name="Années" numFmtId="0" databaseField="0">
      <fieldGroup base="0">
        <rangePr groupBy="years" startDate="2018-05-26T00:00:00" endDate="2018-06-21T00:00:00"/>
        <groupItems count="3">
          <s v="&lt;26/05/2018"/>
          <s v="2018"/>
          <s v="&gt;21/06/2018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6">
  <r>
    <x v="0"/>
    <n v="24"/>
    <m/>
    <m/>
    <d v="1899-12-30T08:00:00"/>
    <d v="1899-12-31T08:00:00"/>
    <m/>
    <m/>
    <x v="0"/>
    <s v="non"/>
    <d v="1899-12-30T14:00:00"/>
    <d v="1899-12-30T00:00:00"/>
    <d v="1899-12-30T02:00:00"/>
    <s v="oui"/>
    <d v="1899-12-30T01:00:00"/>
    <d v="1899-12-30T07:00:00"/>
    <d v="1899-12-30T00:00:00"/>
    <d v="1899-12-30T00:00:00"/>
    <d v="1899-12-30T16:35:00"/>
    <x v="0"/>
    <d v="1899-12-30T00:00:00"/>
    <d v="1899-12-30T00:00:00"/>
    <d v="1899-12-30T00:00:00"/>
    <x v="0"/>
  </r>
  <r>
    <x v="0"/>
    <m/>
    <d v="1899-12-30T21:00:00"/>
    <d v="1899-12-30T01:04:00"/>
    <d v="1899-12-30T21:00:00"/>
    <d v="1899-12-31T01:15:00"/>
    <s v="VSAV"/>
    <m/>
    <x v="1"/>
    <s v="non"/>
    <d v="1899-12-30T01:00:00"/>
    <d v="1899-12-30T00:00:00"/>
    <d v="1899-12-30T02:00:00"/>
    <s v="oui"/>
    <d v="1899-12-30T00:00:00"/>
    <d v="1899-12-30T01:15:00"/>
    <d v="1899-12-30T00:00:00"/>
    <d v="1899-12-30T00:00:00"/>
    <d v="1899-12-30T00:00:00"/>
    <x v="1"/>
    <d v="1899-12-30T01:00:00"/>
    <d v="1899-12-30T00:00:00"/>
    <d v="1899-12-30T03:15:00"/>
    <x v="1"/>
  </r>
  <r>
    <x v="0"/>
    <m/>
    <d v="1899-12-30T12:20:00"/>
    <d v="1899-12-30T15:26:00"/>
    <d v="1899-12-30T12:20:00"/>
    <d v="1899-12-30T15:30:00"/>
    <s v="CCF"/>
    <m/>
    <x v="1"/>
    <s v="non"/>
    <d v="1899-12-30T03:10:00"/>
    <d v="1899-12-30T00:00:00"/>
    <d v="1899-12-30T00:00:00"/>
    <s v="non"/>
    <d v="1899-12-30T00:00:00"/>
    <d v="1899-12-30T00:00:00"/>
    <d v="1899-12-30T00:00:00"/>
    <d v="1899-12-30T00:00:00"/>
    <d v="1899-12-30T00:00:00"/>
    <x v="1"/>
    <d v="1899-12-30T03:10:00"/>
    <d v="1899-12-30T00:00:00"/>
    <d v="1899-12-30T00:00:00"/>
    <x v="2"/>
  </r>
  <r>
    <x v="1"/>
    <n v="24"/>
    <m/>
    <m/>
    <d v="1899-12-30T08:00:00"/>
    <d v="1899-12-31T08:00:00"/>
    <m/>
    <m/>
    <x v="0"/>
    <s v="non"/>
    <d v="1899-12-30T14:00:00"/>
    <d v="1899-12-30T00:00:00"/>
    <d v="1899-12-30T02:00:00"/>
    <s v="non"/>
    <d v="1899-12-30T01:00:00"/>
    <d v="1899-12-30T07:00:00"/>
    <d v="1899-12-30T00:00:00"/>
    <d v="1899-12-30T00:00:00"/>
    <d v="1899-12-30T06:20:00"/>
    <x v="2"/>
    <d v="1899-12-30T00:00:00"/>
    <d v="1899-12-30T00:00:00"/>
    <d v="1899-12-30T00:00:00"/>
    <x v="0"/>
  </r>
  <r>
    <x v="1"/>
    <m/>
    <d v="1899-12-30T10:20:00"/>
    <d v="1899-12-30T23:48:00"/>
    <d v="1899-12-30T10:20:00"/>
    <d v="1899-12-31T00:00:00"/>
    <s v="FPTL"/>
    <m/>
    <x v="1"/>
    <s v="non"/>
    <d v="1899-12-30T11:40:00"/>
    <d v="1899-12-30T00:00:00"/>
    <d v="1899-12-30T02:00:00"/>
    <s v="non"/>
    <d v="1899-12-30T00:00:00"/>
    <d v="1899-12-30T00:00:00"/>
    <d v="1899-12-30T00:00:00"/>
    <d v="1899-12-30T00:00:00"/>
    <d v="1899-12-30T00:00:00"/>
    <x v="1"/>
    <d v="1899-12-30T11:40:00"/>
    <d v="1899-12-30T00:00:00"/>
    <d v="1899-12-30T02:00:00"/>
    <x v="3"/>
  </r>
  <r>
    <x v="1"/>
    <m/>
    <d v="1899-12-30T03:30:00"/>
    <d v="1899-12-30T07:30:00"/>
    <d v="1899-12-30T03:30:00"/>
    <d v="1899-12-30T07:30:00"/>
    <s v="VLOD"/>
    <m/>
    <x v="1"/>
    <s v="non"/>
    <d v="1899-12-30T00:30:00"/>
    <d v="1899-12-30T03:30:00"/>
    <d v="1899-12-30T00:00:00"/>
    <s v="non"/>
    <d v="1899-12-30T00:00:00"/>
    <d v="1899-12-30T00:00:00"/>
    <d v="1899-12-30T00:00:00"/>
    <d v="1899-12-30T00:00:00"/>
    <d v="1899-12-30T00:00:00"/>
    <x v="1"/>
    <d v="1899-12-30T00:30:00"/>
    <d v="1899-12-30T00:00:00"/>
    <d v="1899-12-30T03:30:00"/>
    <x v="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9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compact="0" compactData="0" gridDropZones="1" multipleFieldFilters="0">
  <location ref="A3:E7" firstHeaderRow="1" firstDataRow="2" firstDataCol="3"/>
  <pivotFields count="26">
    <pivotField axis="axisRow" compact="0" numFmtId="167" outline="0" showAll="0">
      <items count="36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t="default"/>
      </items>
    </pivotField>
    <pivotField compact="0" outline="0" showAll="0"/>
    <pivotField compact="0" outline="0" showAll="0" defaultSubtotal="0"/>
    <pivotField compact="0" outline="0" showAll="0" defaultSubtotal="0"/>
    <pivotField compact="0" numFmtId="166" outline="0" showAll="0" defaultSubtotal="0"/>
    <pivotField compact="0" outline="0" showAll="0"/>
    <pivotField compact="0" outline="0" showAll="0"/>
    <pivotField compact="0" outline="0" showAll="0"/>
    <pivotField compact="0" outline="0" showAll="0">
      <items count="3">
        <item x="0"/>
        <item x="1"/>
        <item t="default"/>
      </items>
    </pivotField>
    <pivotField compact="0" outline="0" showAll="0"/>
    <pivotField compact="0" numFmtId="166" outline="0" showAll="0" defaultSubtotal="0"/>
    <pivotField compact="0" numFmtId="166" outline="0" showAll="0" defaultSubtotal="0"/>
    <pivotField compact="0" numFmtId="166" outline="0" showAll="0" defaultSubtotal="0"/>
    <pivotField compact="0" outline="0" showAll="0"/>
    <pivotField compact="0" numFmtId="166" outline="0" showAll="0" defaultSubtotal="0"/>
    <pivotField compact="0" numFmtId="166" outline="0" showAll="0" defaultSubtotal="0"/>
    <pivotField compact="0" numFmtId="166" outline="0" showAll="0" defaultSubtotal="0"/>
    <pivotField compact="0" numFmtId="166" outline="0" showAll="0" defaultSubtotal="0"/>
    <pivotField compact="0" outline="0" showAll="0"/>
    <pivotField dataField="1" compact="0" numFmtId="44" outline="0" showAll="0" defaultSubtotal="0">
      <items count="3">
        <item x="1"/>
        <item x="2"/>
        <item x="0"/>
      </items>
    </pivotField>
    <pivotField compact="0" outline="0" showAll="0"/>
    <pivotField compact="0" outline="0" showAll="0"/>
    <pivotField compact="0" outline="0" showAll="0"/>
    <pivotField dataField="1" compact="0" numFmtId="44" outline="0" showAll="0" defaultSubtotal="0">
      <items count="5">
        <item x="0"/>
        <item x="2"/>
        <item x="4"/>
        <item x="1"/>
        <item x="3"/>
      </items>
    </pivotField>
    <pivotField axis="axisRow" compact="0" outline="0" showAll="0" defaultSubtota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</items>
    </pivotField>
    <pivotField axis="axisRow" compact="0" outline="0" showAll="0" defaultSubtotal="0">
      <items count="3">
        <item x="0"/>
        <item x="1"/>
        <item x="2"/>
      </items>
    </pivotField>
  </pivotFields>
  <rowFields count="3">
    <field x="25"/>
    <field x="24"/>
    <field x="0"/>
  </rowFields>
  <rowItems count="3">
    <i>
      <x v="1"/>
      <x v="5"/>
      <x v="147"/>
    </i>
    <i r="1">
      <x v="6"/>
      <x v="172"/>
    </i>
    <i t="grand">
      <x/>
    </i>
  </rowItems>
  <colFields count="1">
    <field x="-2"/>
  </colFields>
  <colItems count="2">
    <i>
      <x/>
    </i>
    <i i="1">
      <x v="1"/>
    </i>
  </colItems>
  <dataFields count="2">
    <dataField name="Somme de Montant Garde" fld="19" baseField="0" baseItem="1" numFmtId="169"/>
    <dataField name="Somme de Montant Interv." fld="23" baseField="0" baseItem="1" numFmtId="2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data" displayName="data" ref="A1:X7" totalsRowShown="0" headerRowDxfId="21">
  <autoFilter ref="A1:X7"/>
  <tableColumns count="24">
    <tableColumn id="1" name="Date" dataDxfId="20"/>
    <tableColumn id="2" name="Garde 12 ou 24"/>
    <tableColumn id="3" name="Hdébut interv." dataDxfId="19"/>
    <tableColumn id="4" name="Hfin Interv." dataDxfId="18"/>
    <tableColumn id="23" name="Hdébut corrigé" dataDxfId="17">
      <calculatedColumnFormula>IF(data[[#This Row],[Garde 12 ou 24]]&lt;&gt;"",PPoste,data[[#This Row],[Hdébut interv.]])</calculatedColumnFormula>
    </tableColumn>
    <tableColumn id="12" name="Hfin corrigée" dataDxfId="16">
      <calculatedColumnFormula>IF(data[[#This Row],[Garde 12 ou 24]]&lt;&gt;"",PPoste+data[[#This Row],[Garde 12 ou 24]]/24,IF(data[[#This Row],[Hfin Interv.]]="",0,ROUNDUP(data[[#This Row],[Hfin Interv.]]*24*4,0)/4/24+IF(data[[#This Row],[Hfin Interv.]]&gt;data[[#This Row],[Hdébut interv.]],0,1)))</calculatedColumnFormula>
    </tableColumn>
    <tableColumn id="5" name="Véhicule"/>
    <tableColumn id="6" name="Motif"/>
    <tableColumn id="7" name="Garde / Intervention" dataDxfId="15">
      <calculatedColumnFormula>IF(data[Garde 12 ou 24]&lt;&gt;"","Garde",IF(data[Hdébut corrigé]&lt;&gt;"","Intervention",""))</calculatedColumnFormula>
    </tableColumn>
    <tableColumn id="8" name="Début Dim ou Férié" dataDxfId="6">
      <calculatedColumnFormula>IF(OR(WEEKDAY(data[[#This Row],[Date]],2)=7,COUNTIF(JF,data[[#This Row],[Date]])=1),"oui","non")</calculatedColumnFormula>
    </tableColumn>
    <tableColumn id="10" name="JOUR1" dataDxfId="14">
      <calculatedColumnFormula>(MIN(1,data[[#This Row],[Hfin corrigée]])-data[[#This Row],[Hdébut corrigé]])-data[[#This Row],[NUIT1.1]]-data[[#This Row],[NUIT1.2]]</calculatedColumnFormula>
    </tableColumn>
    <tableColumn id="11" name="NUIT1.1" dataDxfId="13">
      <calculatedColumnFormula>IF(data[[#This Row],[Hfin Interv.]]="",0,(
MIN(FinNuit,MIN(1,data[[#This Row],[Hfin corrigée]]))-MIN(FinNuit,data[[#This Row],[Hdébut corrigé]])
))</calculatedColumnFormula>
    </tableColumn>
    <tableColumn id="18" name="NUIT1.2" dataDxfId="12">
      <calculatedColumnFormula>(MAX(0,(MIN(1,data[[#This Row],[Hfin corrigée]])-DebNuit))-MAX(0,(data[[#This Row],[Hdébut corrigé]]-DebNuit)))</calculatedColumnFormula>
    </tableColumn>
    <tableColumn id="9" name="Fin Dim ou Férié" dataDxfId="5">
      <calculatedColumnFormula>IF(OR(WEEKDAY(data[[#This Row],[Date]]+data[[#This Row],[Hfin corrigée]],2)=7,COUNTIF(JF,INT(data[[#This Row],[Date]]+data[[#This Row],[Hfin corrigée]]))=1),"oui","non")</calculatedColumnFormula>
    </tableColumn>
    <tableColumn id="19" name="JOUR2" dataDxfId="11">
      <calculatedColumnFormula>MAX(0,data[[#This Row],[Hfin corrigée]]-1)-data[[#This Row],[NUIT2.1]]-data[[#This Row],[NUIT2.2]]</calculatedColumnFormula>
    </tableColumn>
    <tableColumn id="20" name="NUIT2.1" dataDxfId="10">
      <calculatedColumnFormula>(MAX(0,MIN(data[[#This Row],[Hfin corrigée]],1+FinNuit)-1))</calculatedColumnFormula>
    </tableColumn>
    <tableColumn id="21" name="NUIT2.2" dataDxfId="9">
      <calculatedColumnFormula>(MAX(0,(data[[#This Row],[Hfin corrigée]]-DebNuit-1)))</calculatedColumnFormula>
    </tableColumn>
    <tableColumn id="22" name="Interv. hors poste" dataDxfId="3">
      <calculatedColumnFormula>IF(data[[#This Row],[Garde / Intervention]]="Intervention",MAX(0,data[[#This Row],[Hfin corrigée]]-SUMPRODUCT((data[Date]=data[[#This Row],[Date]])*(data[Garde / Intervention]="Garde")*data[Hfin corrigée])),0)</calculatedColumnFormula>
    </tableColumn>
    <tableColumn id="16" name="Durée sans interv." dataDxfId="2">
      <calculatedColumnFormula>MAX(0,IF(data[[#This Row],[Garde / Intervention]]="Garde",data[[#This Row],[Hfin corrigée]]-data[[#This Row],[Hdébut corrigé]]+SUMPRODUCT((data[Date]=data[[#This Row],[Date]])*data[Interv. hors poste])-SUMPRODUCT((data[Date]=data[[#This Row],[Date]])*(data[[Durée interv. jour]:[Durée interv. nuit]])),0))</calculatedColumnFormula>
    </tableColumn>
    <tableColumn id="24" name="Montant Garde" dataDxfId="0" dataCellStyle="Monétaire">
      <calculatedColumnFormula>TAUX1*data[[#This Row],[Durée sans interv.]]*24</calculatedColumnFormula>
    </tableColumn>
    <tableColumn id="13" name="Durée interv. jour" dataDxfId="8">
      <calculatedColumnFormula>MAX(0,IF(data[[#This Row],[Garde / Intervention]]="Intervention",(data[[#This Row],[Fin Dim ou Férié]]="non")*data[[#This Row],[JOUR2]]+(data[[#This Row],[Début Dim ou Férié]]="non")*data[[#This Row],[JOUR1]],0))</calculatedColumnFormula>
    </tableColumn>
    <tableColumn id="14" name="Durée interv. dim ou férié" dataDxfId="7">
      <calculatedColumnFormula>IF(data[[#This Row],[Garde / Intervention]]="Intervention",(data[[#This Row],[Fin Dim ou Férié]]="oui")*data[[#This Row],[JOUR2]]+(data[[#This Row],[Début Dim ou Férié]]="oui")*data[[#This Row],[JOUR1]],0)</calculatedColumnFormula>
    </tableColumn>
    <tableColumn id="15" name="Durée interv. nuit" dataDxfId="4">
      <calculatedColumnFormula>MAX(0,IF(data[[#This Row],[Garde / Intervention]]="Intervention",data[[#This Row],[NUIT1.1]]+data[[#This Row],[NUIT1.2]]+data[[#This Row],[NUIT2.1]]+data[[#This Row],[NUIT2.2]],0))</calculatedColumnFormula>
    </tableColumn>
    <tableColumn id="17" name="Montant Interv." dataDxfId="1" dataCellStyle="Monétaire">
      <calculatedColumnFormula>TAUX2*data[[#This Row],[Durée interv. jour]]*24+TAUX3*data[[#This Row],[Durée interv. dim ou férié]]*24+TAUX4*data[[#This Row],[Durée interv. nuit]]*24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9"/>
  <sheetViews>
    <sheetView showZeros="0" tabSelected="1" zoomScaleNormal="100" workbookViewId="0">
      <selection activeCell="T3" sqref="T3"/>
    </sheetView>
  </sheetViews>
  <sheetFormatPr baseColWidth="10" defaultRowHeight="14.5" x14ac:dyDescent="0.35"/>
  <cols>
    <col min="1" max="1" width="16.81640625" style="3" customWidth="1"/>
    <col min="2" max="2" width="8.453125" customWidth="1"/>
    <col min="3" max="4" width="9.08984375" style="2" customWidth="1"/>
    <col min="5" max="6" width="10.81640625" style="12" hidden="1" customWidth="1"/>
    <col min="7" max="7" width="10.90625" customWidth="1"/>
    <col min="8" max="8" width="31.81640625" customWidth="1"/>
    <col min="9" max="9" width="13.6328125" style="19" hidden="1" customWidth="1"/>
    <col min="10" max="10" width="7.1796875" style="15" hidden="1" customWidth="1"/>
    <col min="11" max="11" width="9.7265625" style="15" hidden="1" customWidth="1"/>
    <col min="12" max="13" width="8.54296875" style="19" hidden="1" customWidth="1"/>
    <col min="14" max="14" width="7.1796875" style="19" hidden="1" customWidth="1"/>
    <col min="15" max="15" width="9.7265625" style="15" hidden="1" customWidth="1"/>
    <col min="16" max="18" width="8.54296875" style="19" hidden="1" customWidth="1"/>
    <col min="19" max="19" width="8.54296875" style="20" customWidth="1"/>
    <col min="20" max="20" width="8.54296875" style="34" customWidth="1"/>
    <col min="21" max="21" width="10.90625" style="20"/>
    <col min="22" max="22" width="9.7265625" style="17" customWidth="1"/>
    <col min="23" max="23" width="10" style="17" customWidth="1"/>
    <col min="24" max="24" width="10.90625" style="17"/>
    <col min="25" max="25" width="10" style="4" customWidth="1"/>
    <col min="26" max="26" width="10.90625" style="5"/>
  </cols>
  <sheetData>
    <row r="1" spans="1:26" s="7" customFormat="1" ht="58" x14ac:dyDescent="0.35">
      <c r="A1" s="6" t="s">
        <v>0</v>
      </c>
      <c r="B1" s="7" t="s">
        <v>12</v>
      </c>
      <c r="C1" s="8" t="s">
        <v>21</v>
      </c>
      <c r="D1" s="8" t="s">
        <v>22</v>
      </c>
      <c r="E1" s="11" t="s">
        <v>29</v>
      </c>
      <c r="F1" s="11" t="s">
        <v>16</v>
      </c>
      <c r="G1" s="7" t="s">
        <v>2</v>
      </c>
      <c r="H1" s="7" t="s">
        <v>1</v>
      </c>
      <c r="I1" s="9" t="s">
        <v>13</v>
      </c>
      <c r="J1" s="9" t="s">
        <v>14</v>
      </c>
      <c r="K1" s="10" t="s">
        <v>23</v>
      </c>
      <c r="L1" s="10" t="s">
        <v>24</v>
      </c>
      <c r="M1" s="10" t="s">
        <v>25</v>
      </c>
      <c r="N1" s="9" t="s">
        <v>15</v>
      </c>
      <c r="O1" s="10" t="s">
        <v>26</v>
      </c>
      <c r="P1" s="10" t="s">
        <v>27</v>
      </c>
      <c r="Q1" s="10" t="s">
        <v>28</v>
      </c>
      <c r="R1" s="10" t="s">
        <v>39</v>
      </c>
      <c r="S1" s="13" t="s">
        <v>17</v>
      </c>
      <c r="T1" s="14" t="s">
        <v>41</v>
      </c>
      <c r="U1" s="13" t="s">
        <v>20</v>
      </c>
      <c r="V1" s="13" t="s">
        <v>18</v>
      </c>
      <c r="W1" s="13" t="s">
        <v>19</v>
      </c>
      <c r="X1" s="14" t="s">
        <v>42</v>
      </c>
    </row>
    <row r="2" spans="1:26" x14ac:dyDescent="0.35">
      <c r="A2" s="3">
        <v>43246</v>
      </c>
      <c r="B2">
        <v>24</v>
      </c>
      <c r="E2" s="4">
        <f>IF(data[[#This Row],[Garde 12 ou 24]]&lt;&gt;"",PPoste,data[[#This Row],[Hdébut interv.]])</f>
        <v>0.33333333333333331</v>
      </c>
      <c r="F2" s="12">
        <f>IF(data[[#This Row],[Garde 12 ou 24]]&lt;&gt;"",PPoste+data[[#This Row],[Garde 12 ou 24]]/24,IF(data[[#This Row],[Hfin Interv.]]="",0,ROUNDUP(data[[#This Row],[Hfin Interv.]]*24*4,0)/4/24+IF(data[[#This Row],[Hfin Interv.]]&gt;data[[#This Row],[Hdébut interv.]],0,1)))</f>
        <v>1.3333333333333333</v>
      </c>
      <c r="I2" s="15" t="str">
        <f>IF(data[Garde 12 ou 24]&lt;&gt;"","Garde",IF(data[Hdébut corrigé]&lt;&gt;"","Intervention",""))</f>
        <v>Garde</v>
      </c>
      <c r="J2" s="15" t="str">
        <f>IF(OR(WEEKDAY(data[[#This Row],[Date]],2)=7,COUNTIF(JF,data[[#This Row],[Date]])=1),"oui","non")</f>
        <v>non</v>
      </c>
      <c r="K2" s="16">
        <f>(MIN(1,data[[#This Row],[Hfin corrigée]])-data[[#This Row],[Hdébut corrigé]])-data[[#This Row],[NUIT1.1]]-data[[#This Row],[NUIT1.2]]</f>
        <v>0.58333333333333337</v>
      </c>
      <c r="L2" s="16">
        <f>IF(data[[#This Row],[Hfin Interv.]]="",0,(
MIN(FinNuit,MIN(1,data[[#This Row],[Hfin corrigée]]))-MIN(FinNuit,data[[#This Row],[Hdébut corrigé]])
))</f>
        <v>0</v>
      </c>
      <c r="M2" s="16">
        <f>(MAX(0,(MIN(1,data[[#This Row],[Hfin corrigée]])-DebNuit))-MAX(0,(data[[#This Row],[Hdébut corrigé]]-DebNuit)))</f>
        <v>8.333333333333337E-2</v>
      </c>
      <c r="N2" s="15" t="str">
        <f>IF(OR(WEEKDAY(data[[#This Row],[Date]]+data[[#This Row],[Hfin corrigée]],2)=7,COUNTIF(JF,INT(data[[#This Row],[Date]]+data[[#This Row],[Hfin corrigée]]))=1),"oui","non")</f>
        <v>oui</v>
      </c>
      <c r="O2" s="16">
        <f>MAX(0,data[[#This Row],[Hfin corrigée]]-1)-data[[#This Row],[NUIT2.1]]-data[[#This Row],[NUIT2.2]]</f>
        <v>4.1666666666666519E-2</v>
      </c>
      <c r="P2" s="16">
        <f>(MAX(0,MIN(data[[#This Row],[Hfin corrigée]],1+FinNuit)-1))</f>
        <v>0.29166666666666674</v>
      </c>
      <c r="Q2" s="16">
        <f>(MAX(0,(data[[#This Row],[Hfin corrigée]]-DebNuit-1)))</f>
        <v>0</v>
      </c>
      <c r="R2" s="16">
        <f>IF(data[[#This Row],[Garde / Intervention]]="Intervention",MAX(0,data[[#This Row],[Hfin corrigée]]-SUMPRODUCT((data[Date]=data[[#This Row],[Date]])*(data[Garde / Intervention]="Garde")*data[Hfin corrigée])),0)</f>
        <v>0</v>
      </c>
      <c r="S2" s="17">
        <f>MAX(0,IF(data[[#This Row],[Garde / Intervention]]="Garde",data[[#This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0.69097222222222232</v>
      </c>
      <c r="T2" s="18">
        <f>TAUX1*data[[#This Row],[Durée sans interv.]]*24</f>
        <v>49.750000000000007</v>
      </c>
      <c r="U2" s="17">
        <f>MAX(0,IF(data[[#This Row],[Garde / Intervention]]="Intervention",(data[[#This Row],[Fin Dim ou Férié]]="non")*data[[#This Row],[JOUR2]]+(data[[#This Row],[Début Dim ou Férié]]="non")*data[[#This Row],[JOUR1]],0))</f>
        <v>0</v>
      </c>
      <c r="V2" s="17">
        <f>IF(data[[#This Row],[Garde / Intervention]]="Intervention",(data[[#This Row],[Fin Dim ou Férié]]="oui")*data[[#This Row],[JOUR2]]+(data[[#This Row],[Début Dim ou Férié]]="oui")*data[[#This Row],[JOUR1]],0)</f>
        <v>0</v>
      </c>
      <c r="W2" s="17">
        <f>MAX(0,IF(data[[#This Row],[Garde / Intervention]]="Intervention",data[[#This Row],[NUIT1.1]]+data[[#This Row],[NUIT1.2]]+data[[#This Row],[NUIT2.1]]+data[[#This Row],[NUIT2.2]],0))</f>
        <v>0</v>
      </c>
      <c r="X2" s="18">
        <f>TAUX2*data[[#This Row],[Durée interv. jour]]*24+TAUX3*data[[#This Row],[Durée interv. dim ou férié]]*24+TAUX4*data[[#This Row],[Durée interv. nuit]]*24</f>
        <v>0</v>
      </c>
      <c r="Y2"/>
      <c r="Z2"/>
    </row>
    <row r="3" spans="1:26" x14ac:dyDescent="0.35">
      <c r="A3" s="3">
        <v>43246</v>
      </c>
      <c r="C3" s="2">
        <v>0.875</v>
      </c>
      <c r="D3" s="2">
        <v>4.4444444444444446E-2</v>
      </c>
      <c r="E3" s="4">
        <f>IF(data[[#This Row],[Garde 12 ou 24]]&lt;&gt;"",PPoste,data[[#This Row],[Hdébut interv.]])</f>
        <v>0.875</v>
      </c>
      <c r="F3" s="12">
        <f>IF(data[[#This Row],[Garde 12 ou 24]]&lt;&gt;"",PPoste+data[[#This Row],[Garde 12 ou 24]]/24,IF(data[[#This Row],[Hfin Interv.]]="",0,ROUNDUP(data[[#This Row],[Hfin Interv.]]*24*4,0)/4/24+IF(data[[#This Row],[Hfin Interv.]]&gt;data[[#This Row],[Hdébut interv.]],0,1)))</f>
        <v>1.0520833333333333</v>
      </c>
      <c r="G3" t="s">
        <v>3</v>
      </c>
      <c r="I3" s="15" t="str">
        <f>IF(data[Garde 12 ou 24]&lt;&gt;"","Garde",IF(data[Hdébut corrigé]&lt;&gt;"","Intervention",""))</f>
        <v>Intervention</v>
      </c>
      <c r="J3" s="15" t="str">
        <f>IF(OR(WEEKDAY(data[[#This Row],[Date]],2)=7,COUNTIF(JF,data[[#This Row],[Date]])=1),"oui","non")</f>
        <v>non</v>
      </c>
      <c r="K3" s="16">
        <f>(MIN(1,data[[#This Row],[Hfin corrigée]])-data[[#This Row],[Hdébut corrigé]])-data[[#This Row],[NUIT1.1]]-data[[#This Row],[NUIT1.2]]</f>
        <v>4.166666666666663E-2</v>
      </c>
      <c r="L3" s="16">
        <f>IF(data[[#This Row],[Hfin Interv.]]="",0,(
MIN(FinNuit,MIN(1,data[[#This Row],[Hfin corrigée]]))-MIN(FinNuit,data[[#This Row],[Hdébut corrigé]])
))</f>
        <v>0</v>
      </c>
      <c r="M3" s="16">
        <f>(MAX(0,(MIN(1,data[[#This Row],[Hfin corrigée]])-DebNuit))-MAX(0,(data[[#This Row],[Hdébut corrigé]]-DebNuit)))</f>
        <v>8.333333333333337E-2</v>
      </c>
      <c r="N3" s="15" t="str">
        <f>IF(OR(WEEKDAY(data[[#This Row],[Date]]+data[[#This Row],[Hfin corrigée]],2)=7,COUNTIF(JF,INT(data[[#This Row],[Date]]+data[[#This Row],[Hfin corrigée]]))=1),"oui","non")</f>
        <v>oui</v>
      </c>
      <c r="O3" s="16">
        <f>MAX(0,data[[#This Row],[Hfin corrigée]]-1)-data[[#This Row],[NUIT2.1]]-data[[#This Row],[NUIT2.2]]</f>
        <v>0</v>
      </c>
      <c r="P3" s="16">
        <f>(MAX(0,MIN(data[[#This Row],[Hfin corrigée]],1+FinNuit)-1))</f>
        <v>5.2083333333333259E-2</v>
      </c>
      <c r="Q3" s="16">
        <f>(MAX(0,(data[[#This Row],[Hfin corrigée]]-DebNuit-1)))</f>
        <v>0</v>
      </c>
      <c r="R3" s="16">
        <f>IF(data[[#This Row],[Garde / Intervention]]="Intervention",MAX(0,data[[#This Row],[Hfin corrigée]]-SUMPRODUCT((data[Date]=data[[#This Row],[Date]])*(data[Garde / Intervention]="Garde")*data[Hfin corrigée])),0)</f>
        <v>0</v>
      </c>
      <c r="S3" s="17">
        <f>MAX(0,IF(data[[#This Row],[Garde / Intervention]]="Garde",data[[#This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</v>
      </c>
      <c r="T3" s="18">
        <f>TAUX1*data[[#This Row],[Durée sans interv.]]*24</f>
        <v>0</v>
      </c>
      <c r="U3" s="17">
        <f>MAX(0,IF(data[[#This Row],[Garde / Intervention]]="Intervention",(data[[#This Row],[Fin Dim ou Férié]]="non")*data[[#This Row],[JOUR2]]+(data[[#This Row],[Début Dim ou Férié]]="non")*data[[#This Row],[JOUR1]],0))</f>
        <v>4.166666666666663E-2</v>
      </c>
      <c r="V3" s="17">
        <f>IF(data[[#This Row],[Garde / Intervention]]="Intervention",(data[[#This Row],[Fin Dim ou Férié]]="oui")*data[[#This Row],[JOUR2]]+(data[[#This Row],[Début Dim ou Férié]]="oui")*data[[#This Row],[JOUR1]],0)</f>
        <v>0</v>
      </c>
      <c r="W3" s="17">
        <f>MAX(0,IF(data[[#This Row],[Garde / Intervention]]="Intervention",data[[#This Row],[NUIT1.1]]+data[[#This Row],[NUIT1.2]]+data[[#This Row],[NUIT2.1]]+data[[#This Row],[NUIT2.2]],0))</f>
        <v>0.13541666666666663</v>
      </c>
      <c r="X3" s="18">
        <f>TAUX2*data[[#This Row],[Durée interv. jour]]*24+TAUX3*data[[#This Row],[Durée interv. dim ou férié]]*24+TAUX4*data[[#This Row],[Durée interv. nuit]]*24</f>
        <v>23.499999999999989</v>
      </c>
      <c r="Y3"/>
      <c r="Z3"/>
    </row>
    <row r="4" spans="1:26" x14ac:dyDescent="0.35">
      <c r="A4" s="3">
        <v>43246</v>
      </c>
      <c r="C4" s="2">
        <v>0.51388888888888895</v>
      </c>
      <c r="D4" s="2">
        <v>0.6430555555555556</v>
      </c>
      <c r="E4" s="4">
        <f>IF(data[[#This Row],[Garde 12 ou 24]]&lt;&gt;"",PPoste,data[[#This Row],[Hdébut interv.]])</f>
        <v>0.51388888888888895</v>
      </c>
      <c r="F4" s="12">
        <f>IF(data[[#This Row],[Garde 12 ou 24]]&lt;&gt;"",PPoste+data[[#This Row],[Garde 12 ou 24]]/24,IF(data[[#This Row],[Hfin Interv.]]="",0,ROUNDUP(data[[#This Row],[Hfin Interv.]]*24*4,0)/4/24+IF(data[[#This Row],[Hfin Interv.]]&gt;data[[#This Row],[Hdébut interv.]],0,1)))</f>
        <v>0.64583333333333337</v>
      </c>
      <c r="G4" t="s">
        <v>5</v>
      </c>
      <c r="I4" s="15" t="str">
        <f>IF(data[Garde 12 ou 24]&lt;&gt;"","Garde",IF(data[Hdébut corrigé]&lt;&gt;"","Intervention",""))</f>
        <v>Intervention</v>
      </c>
      <c r="J4" s="15" t="str">
        <f>IF(OR(WEEKDAY(data[[#This Row],[Date]],2)=7,COUNTIF(JF,data[[#This Row],[Date]])=1),"oui","non")</f>
        <v>non</v>
      </c>
      <c r="K4" s="16">
        <f>(MIN(1,data[[#This Row],[Hfin corrigée]])-data[[#This Row],[Hdébut corrigé]])-data[[#This Row],[NUIT1.1]]-data[[#This Row],[NUIT1.2]]</f>
        <v>0.13194444444444442</v>
      </c>
      <c r="L4" s="16">
        <f>IF(data[[#This Row],[Hfin Interv.]]="",0,(
MIN(FinNuit,MIN(1,data[[#This Row],[Hfin corrigée]]))-MIN(FinNuit,data[[#This Row],[Hdébut corrigé]])
))</f>
        <v>0</v>
      </c>
      <c r="M4" s="16">
        <f>(MAX(0,(MIN(1,data[[#This Row],[Hfin corrigée]])-DebNuit))-MAX(0,(data[[#This Row],[Hdébut corrigé]]-DebNuit)))</f>
        <v>0</v>
      </c>
      <c r="N4" s="15" t="str">
        <f>IF(OR(WEEKDAY(data[[#This Row],[Date]]+data[[#This Row],[Hfin corrigée]],2)=7,COUNTIF(JF,INT(data[[#This Row],[Date]]+data[[#This Row],[Hfin corrigée]]))=1),"oui","non")</f>
        <v>non</v>
      </c>
      <c r="O4" s="16">
        <f>MAX(0,data[[#This Row],[Hfin corrigée]]-1)-data[[#This Row],[NUIT2.1]]-data[[#This Row],[NUIT2.2]]</f>
        <v>0</v>
      </c>
      <c r="P4" s="16">
        <f>(MAX(0,MIN(data[[#This Row],[Hfin corrigée]],1+FinNuit)-1))</f>
        <v>0</v>
      </c>
      <c r="Q4" s="16">
        <f>(MAX(0,(data[[#This Row],[Hfin corrigée]]-DebNuit-1)))</f>
        <v>0</v>
      </c>
      <c r="R4" s="16">
        <f>IF(data[[#This Row],[Garde / Intervention]]="Intervention",MAX(0,data[[#This Row],[Hfin corrigée]]-SUMPRODUCT((data[Date]=data[[#This Row],[Date]])*(data[Garde / Intervention]="Garde")*data[Hfin corrigée])),0)</f>
        <v>0</v>
      </c>
      <c r="S4" s="17">
        <f>MAX(0,IF(data[[#This Row],[Garde / Intervention]]="Garde",data[[#This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</v>
      </c>
      <c r="T4" s="18">
        <f>TAUX1*data[[#This Row],[Durée sans interv.]]*24</f>
        <v>0</v>
      </c>
      <c r="U4" s="17">
        <f>MAX(0,IF(data[[#This Row],[Garde / Intervention]]="Intervention",(data[[#This Row],[Fin Dim ou Férié]]="non")*data[[#This Row],[JOUR2]]+(data[[#This Row],[Début Dim ou Férié]]="non")*data[[#This Row],[JOUR1]],0))</f>
        <v>0.13194444444444442</v>
      </c>
      <c r="V4" s="17">
        <f>IF(data[[#This Row],[Garde / Intervention]]="Intervention",(data[[#This Row],[Fin Dim ou Férié]]="oui")*data[[#This Row],[JOUR2]]+(data[[#This Row],[Début Dim ou Férié]]="oui")*data[[#This Row],[JOUR1]],0)</f>
        <v>0</v>
      </c>
      <c r="W4" s="17">
        <f>MAX(0,IF(data[[#This Row],[Garde / Intervention]]="Intervention",data[[#This Row],[NUIT1.1]]+data[[#This Row],[NUIT1.2]]+data[[#This Row],[NUIT2.1]]+data[[#This Row],[NUIT2.2]],0))</f>
        <v>0</v>
      </c>
      <c r="X4" s="18">
        <f>TAUX2*data[[#This Row],[Durée interv. jour]]*24+TAUX3*data[[#This Row],[Durée interv. dim ou férié]]*24+TAUX4*data[[#This Row],[Durée interv. nuit]]*24</f>
        <v>12.666666666666664</v>
      </c>
      <c r="Y4"/>
      <c r="Z4"/>
    </row>
    <row r="5" spans="1:26" x14ac:dyDescent="0.35">
      <c r="A5" s="3">
        <v>43271</v>
      </c>
      <c r="B5">
        <v>24</v>
      </c>
      <c r="E5" s="4">
        <f>IF(data[[#This Row],[Garde 12 ou 24]]&lt;&gt;"",PPoste,data[[#This Row],[Hdébut interv.]])</f>
        <v>0.33333333333333331</v>
      </c>
      <c r="F5" s="12">
        <f>IF(data[[#This Row],[Garde 12 ou 24]]&lt;&gt;"",PPoste+data[[#This Row],[Garde 12 ou 24]]/24,IF(data[[#This Row],[Hfin Interv.]]="",0,ROUNDUP(data[[#This Row],[Hfin Interv.]]*24*4,0)/4/24+IF(data[[#This Row],[Hfin Interv.]]&gt;data[[#This Row],[Hdébut interv.]],0,1)))</f>
        <v>1.3333333333333333</v>
      </c>
      <c r="I5" s="15" t="str">
        <f>IF(data[Garde 12 ou 24]&lt;&gt;"","Garde",IF(data[Hdébut corrigé]&lt;&gt;"","Intervention",""))</f>
        <v>Garde</v>
      </c>
      <c r="J5" s="15" t="str">
        <f>IF(OR(WEEKDAY(data[[#This Row],[Date]],2)=7,COUNTIF(JF,data[[#This Row],[Date]])=1),"oui","non")</f>
        <v>non</v>
      </c>
      <c r="K5" s="16">
        <f>(MIN(1,data[[#This Row],[Hfin corrigée]])-data[[#This Row],[Hdébut corrigé]])-data[[#This Row],[NUIT1.1]]-data[[#This Row],[NUIT1.2]]</f>
        <v>0.58333333333333337</v>
      </c>
      <c r="L5" s="16">
        <f>IF(data[[#This Row],[Hfin Interv.]]="",0,(
MIN(FinNuit,MIN(1,data[[#This Row],[Hfin corrigée]]))-MIN(FinNuit,data[[#This Row],[Hdébut corrigé]])
))</f>
        <v>0</v>
      </c>
      <c r="M5" s="16">
        <f>(MAX(0,(MIN(1,data[[#This Row],[Hfin corrigée]])-DebNuit))-MAX(0,(data[[#This Row],[Hdébut corrigé]]-DebNuit)))</f>
        <v>8.333333333333337E-2</v>
      </c>
      <c r="N5" s="15" t="str">
        <f>IF(OR(WEEKDAY(data[[#This Row],[Date]]+data[[#This Row],[Hfin corrigée]],2)=7,COUNTIF(JF,INT(data[[#This Row],[Date]]+data[[#This Row],[Hfin corrigée]]))=1),"oui","non")</f>
        <v>non</v>
      </c>
      <c r="O5" s="16">
        <f>MAX(0,data[[#This Row],[Hfin corrigée]]-1)-data[[#This Row],[NUIT2.1]]-data[[#This Row],[NUIT2.2]]</f>
        <v>4.1666666666666519E-2</v>
      </c>
      <c r="P5" s="16">
        <f>(MAX(0,MIN(data[[#This Row],[Hfin corrigée]],1+FinNuit)-1))</f>
        <v>0.29166666666666674</v>
      </c>
      <c r="Q5" s="16">
        <f>(MAX(0,(data[[#This Row],[Hfin corrigée]]-DebNuit-1)))</f>
        <v>0</v>
      </c>
      <c r="R5" s="16">
        <f>IF(data[[#This Row],[Garde / Intervention]]="Intervention",MAX(0,data[[#This Row],[Hfin corrigée]]-SUMPRODUCT((data[Date]=data[[#This Row],[Date]])*(data[Garde / Intervention]="Garde")*data[Hfin corrigée])),0)</f>
        <v>0</v>
      </c>
      <c r="S5" s="17">
        <f>MAX(0,IF(data[[#This Row],[Garde / Intervention]]="Garde",data[[#This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0.26388888888888906</v>
      </c>
      <c r="T5" s="18">
        <f>TAUX1*data[[#This Row],[Durée sans interv.]]*24</f>
        <v>19.000000000000014</v>
      </c>
      <c r="U5" s="17">
        <f>MAX(0,IF(data[[#This Row],[Garde / Intervention]]="Intervention",(data[[#This Row],[Fin Dim ou Férié]]="non")*data[[#This Row],[JOUR2]]+(data[[#This Row],[Début Dim ou Férié]]="non")*data[[#This Row],[JOUR1]],0))</f>
        <v>0</v>
      </c>
      <c r="V5" s="17">
        <f>IF(data[[#This Row],[Garde / Intervention]]="Intervention",(data[[#This Row],[Fin Dim ou Férié]]="oui")*data[[#This Row],[JOUR2]]+(data[[#This Row],[Début Dim ou Férié]]="oui")*data[[#This Row],[JOUR1]],0)</f>
        <v>0</v>
      </c>
      <c r="W5" s="17">
        <f>MAX(0,IF(data[[#This Row],[Garde / Intervention]]="Intervention",data[[#This Row],[NUIT1.1]]+data[[#This Row],[NUIT1.2]]+data[[#This Row],[NUIT2.1]]+data[[#This Row],[NUIT2.2]],0))</f>
        <v>0</v>
      </c>
      <c r="X5" s="18">
        <f>TAUX2*data[[#This Row],[Durée interv. jour]]*24+TAUX3*data[[#This Row],[Durée interv. dim ou férié]]*24+TAUX4*data[[#This Row],[Durée interv. nuit]]*24</f>
        <v>0</v>
      </c>
      <c r="Y5"/>
      <c r="Z5"/>
    </row>
    <row r="6" spans="1:26" x14ac:dyDescent="0.35">
      <c r="A6" s="3">
        <v>43271</v>
      </c>
      <c r="C6" s="2">
        <v>0.43055555555555602</v>
      </c>
      <c r="D6" s="2">
        <v>0.9916666666666667</v>
      </c>
      <c r="E6" s="4">
        <f>IF(data[[#This Row],[Garde 12 ou 24]]&lt;&gt;"",PPoste,data[[#This Row],[Hdébut interv.]])</f>
        <v>0.43055555555555602</v>
      </c>
      <c r="F6" s="12">
        <f>IF(data[[#This Row],[Garde 12 ou 24]]&lt;&gt;"",PPoste+data[[#This Row],[Garde 12 ou 24]]/24,IF(data[[#This Row],[Hfin Interv.]]="",0,ROUNDUP(data[[#This Row],[Hfin Interv.]]*24*4,0)/4/24+IF(data[[#This Row],[Hfin Interv.]]&gt;data[[#This Row],[Hdébut interv.]],0,1)))</f>
        <v>1</v>
      </c>
      <c r="G6" t="s">
        <v>4</v>
      </c>
      <c r="I6" s="15" t="str">
        <f>IF(data[Garde 12 ou 24]&lt;&gt;"","Garde",IF(data[Hdébut corrigé]&lt;&gt;"","Intervention",""))</f>
        <v>Intervention</v>
      </c>
      <c r="J6" s="15" t="str">
        <f>IF(OR(WEEKDAY(data[[#This Row],[Date]],2)=7,COUNTIF(JF,data[[#This Row],[Date]])=1),"oui","non")</f>
        <v>non</v>
      </c>
      <c r="K6" s="16">
        <f>(MIN(1,data[[#This Row],[Hfin corrigée]])-data[[#This Row],[Hdébut corrigé]])-data[[#This Row],[NUIT1.1]]-data[[#This Row],[NUIT1.2]]</f>
        <v>0.48611111111111061</v>
      </c>
      <c r="L6" s="16">
        <f>IF(data[[#This Row],[Hfin Interv.]]="",0,(
MIN(FinNuit,MIN(1,data[[#This Row],[Hfin corrigée]]))-MIN(FinNuit,data[[#This Row],[Hdébut corrigé]])
))</f>
        <v>0</v>
      </c>
      <c r="M6" s="16">
        <f>(MAX(0,(MIN(1,data[[#This Row],[Hfin corrigée]])-DebNuit))-MAX(0,(data[[#This Row],[Hdébut corrigé]]-DebNuit)))</f>
        <v>8.333333333333337E-2</v>
      </c>
      <c r="N6" s="15" t="str">
        <f>IF(OR(WEEKDAY(data[[#This Row],[Date]]+data[[#This Row],[Hfin corrigée]],2)=7,COUNTIF(JF,INT(data[[#This Row],[Date]]+data[[#This Row],[Hfin corrigée]]))=1),"oui","non")</f>
        <v>non</v>
      </c>
      <c r="O6" s="16">
        <f>MAX(0,data[[#This Row],[Hfin corrigée]]-1)-data[[#This Row],[NUIT2.1]]-data[[#This Row],[NUIT2.2]]</f>
        <v>0</v>
      </c>
      <c r="P6" s="16">
        <f>(MAX(0,MIN(data[[#This Row],[Hfin corrigée]],1+FinNuit)-1))</f>
        <v>0</v>
      </c>
      <c r="Q6" s="16">
        <f>(MAX(0,(data[[#This Row],[Hfin corrigée]]-DebNuit-1)))</f>
        <v>0</v>
      </c>
      <c r="R6" s="16">
        <f>IF(data[[#This Row],[Garde / Intervention]]="Intervention",MAX(0,data[[#This Row],[Hfin corrigée]]-SUMPRODUCT((data[Date]=data[[#This Row],[Date]])*(data[Garde / Intervention]="Garde")*data[Hfin corrigée])),0)</f>
        <v>0</v>
      </c>
      <c r="S6" s="17">
        <f>MAX(0,IF(data[[#This Row],[Garde / Intervention]]="Garde",data[[#This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</v>
      </c>
      <c r="T6" s="18">
        <f>TAUX1*data[[#This Row],[Durée sans interv.]]*24</f>
        <v>0</v>
      </c>
      <c r="U6" s="17">
        <f>MAX(0,IF(data[[#This Row],[Garde / Intervention]]="Intervention",(data[[#This Row],[Fin Dim ou Férié]]="non")*data[[#This Row],[JOUR2]]+(data[[#This Row],[Début Dim ou Férié]]="non")*data[[#This Row],[JOUR1]],0))</f>
        <v>0.48611111111111061</v>
      </c>
      <c r="V6" s="17">
        <f>IF(data[[#This Row],[Garde / Intervention]]="Intervention",(data[[#This Row],[Fin Dim ou Férié]]="oui")*data[[#This Row],[JOUR2]]+(data[[#This Row],[Début Dim ou Férié]]="oui")*data[[#This Row],[JOUR1]],0)</f>
        <v>0</v>
      </c>
      <c r="W6" s="17">
        <f>MAX(0,IF(data[[#This Row],[Garde / Intervention]]="Intervention",data[[#This Row],[NUIT1.1]]+data[[#This Row],[NUIT1.2]]+data[[#This Row],[NUIT2.1]]+data[[#This Row],[NUIT2.2]],0))</f>
        <v>8.333333333333337E-2</v>
      </c>
      <c r="X6" s="18">
        <f>TAUX2*data[[#This Row],[Durée interv. jour]]*24+TAUX3*data[[#This Row],[Durée interv. dim ou férié]]*24+TAUX4*data[[#This Row],[Durée interv. nuit]]*24</f>
        <v>58.666666666666622</v>
      </c>
      <c r="Y6"/>
      <c r="Z6"/>
    </row>
    <row r="7" spans="1:26" x14ac:dyDescent="0.35">
      <c r="A7" s="3">
        <v>43271</v>
      </c>
      <c r="C7" s="2">
        <v>0.14583333333333301</v>
      </c>
      <c r="D7" s="2">
        <v>0.3125</v>
      </c>
      <c r="E7" s="4">
        <f>IF(data[[#This Row],[Garde 12 ou 24]]&lt;&gt;"",PPoste,data[[#This Row],[Hdébut interv.]])</f>
        <v>0.14583333333333301</v>
      </c>
      <c r="F7" s="12">
        <f>IF(data[[#This Row],[Garde 12 ou 24]]&lt;&gt;"",PPoste+data[[#This Row],[Garde 12 ou 24]]/24,IF(data[[#This Row],[Hfin Interv.]]="",0,ROUNDUP(data[[#This Row],[Hfin Interv.]]*24*4,0)/4/24+IF(data[[#This Row],[Hfin Interv.]]&gt;data[[#This Row],[Hdébut interv.]],0,1)))</f>
        <v>0.3125</v>
      </c>
      <c r="G7" t="s">
        <v>6</v>
      </c>
      <c r="I7" s="15" t="str">
        <f>IF(data[Garde 12 ou 24]&lt;&gt;"","Garde",IF(data[Hdébut corrigé]&lt;&gt;"","Intervention",""))</f>
        <v>Intervention</v>
      </c>
      <c r="J7" s="15" t="str">
        <f>IF(OR(WEEKDAY(data[[#This Row],[Date]],2)=7,COUNTIF(JF,data[[#This Row],[Date]])=1),"oui","non")</f>
        <v>non</v>
      </c>
      <c r="K7" s="16">
        <f>(MIN(1,data[[#This Row],[Hfin corrigée]])-data[[#This Row],[Hdébut corrigé]])-data[[#This Row],[NUIT1.1]]-data[[#This Row],[NUIT1.2]]</f>
        <v>2.0833333333333315E-2</v>
      </c>
      <c r="L7" s="16">
        <f>IF(data[[#This Row],[Hfin Interv.]]="",0,(
MIN(FinNuit,MIN(1,data[[#This Row],[Hfin corrigée]]))-MIN(FinNuit,data[[#This Row],[Hdébut corrigé]])
))</f>
        <v>0.14583333333333368</v>
      </c>
      <c r="M7" s="16">
        <f>(MAX(0,(MIN(1,data[[#This Row],[Hfin corrigée]])-DebNuit))-MAX(0,(data[[#This Row],[Hdébut corrigé]]-DebNuit)))</f>
        <v>0</v>
      </c>
      <c r="N7" s="15" t="str">
        <f>IF(OR(WEEKDAY(data[[#This Row],[Date]]+data[[#This Row],[Hfin corrigée]],2)=7,COUNTIF(JF,INT(data[[#This Row],[Date]]+data[[#This Row],[Hfin corrigée]]))=1),"oui","non")</f>
        <v>non</v>
      </c>
      <c r="O7" s="16">
        <f>MAX(0,data[[#This Row],[Hfin corrigée]]-1)-data[[#This Row],[NUIT2.1]]-data[[#This Row],[NUIT2.2]]</f>
        <v>0</v>
      </c>
      <c r="P7" s="16">
        <f>(MAX(0,MIN(data[[#This Row],[Hfin corrigée]],1+FinNuit)-1))</f>
        <v>0</v>
      </c>
      <c r="Q7" s="16">
        <f>(MAX(0,(data[[#This Row],[Hfin corrigée]]-DebNuit-1)))</f>
        <v>0</v>
      </c>
      <c r="R7" s="16">
        <f>IF(data[[#This Row],[Garde / Intervention]]="Intervention",MAX(0,data[[#This Row],[Hfin corrigée]]-SUMPRODUCT((data[Date]=data[[#This Row],[Date]])*(data[Garde / Intervention]="Garde")*data[Hfin corrigée])),0)</f>
        <v>0</v>
      </c>
      <c r="S7" s="17">
        <f>MAX(0,IF(data[[#This Row],[Garde / Intervention]]="Garde",data[[#This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</v>
      </c>
      <c r="T7" s="18">
        <f>TAUX1*data[[#This Row],[Durée sans interv.]]*24</f>
        <v>0</v>
      </c>
      <c r="U7" s="17">
        <f>MAX(0,IF(data[[#This Row],[Garde / Intervention]]="Intervention",(data[[#This Row],[Fin Dim ou Férié]]="non")*data[[#This Row],[JOUR2]]+(data[[#This Row],[Début Dim ou Férié]]="non")*data[[#This Row],[JOUR1]],0))</f>
        <v>2.0833333333333315E-2</v>
      </c>
      <c r="V7" s="17">
        <f>IF(data[[#This Row],[Garde / Intervention]]="Intervention",(data[[#This Row],[Fin Dim ou Férié]]="oui")*data[[#This Row],[JOUR2]]+(data[[#This Row],[Début Dim ou Férié]]="oui")*data[[#This Row],[JOUR1]],0)</f>
        <v>0</v>
      </c>
      <c r="W7" s="17">
        <f>MAX(0,IF(data[[#This Row],[Garde / Intervention]]="Intervention",data[[#This Row],[NUIT1.1]]+data[[#This Row],[NUIT1.2]]+data[[#This Row],[NUIT2.1]]+data[[#This Row],[NUIT2.2]],0))</f>
        <v>0.14583333333333368</v>
      </c>
      <c r="X7" s="18">
        <f>TAUX2*data[[#This Row],[Durée interv. jour]]*24+TAUX3*data[[#This Row],[Durée interv. dim ou férié]]*24+TAUX4*data[[#This Row],[Durée interv. nuit]]*24</f>
        <v>23.00000000000005</v>
      </c>
      <c r="Y7"/>
      <c r="Z7"/>
    </row>
    <row r="9" spans="1:26" x14ac:dyDescent="0.35">
      <c r="U9" s="32"/>
    </row>
  </sheetData>
  <dataValidations count="2">
    <dataValidation type="list" allowBlank="1" showInputMessage="1" showErrorMessage="1" sqref="B2:B7">
      <formula1>garde</formula1>
    </dataValidation>
    <dataValidation type="list" allowBlank="1" showInputMessage="1" showErrorMessage="1" sqref="G2:G7">
      <formula1>véhicule</formula1>
    </dataValidation>
  </dataValidations>
  <pageMargins left="0.7" right="0.7" top="0.75" bottom="0.75" header="0.3" footer="0.3"/>
  <pageSetup paperSize="9" orientation="portrait" r:id="rId1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E7"/>
  <sheetViews>
    <sheetView workbookViewId="0"/>
  </sheetViews>
  <sheetFormatPr baseColWidth="10" defaultRowHeight="14.5" x14ac:dyDescent="0.35"/>
  <cols>
    <col min="1" max="1" width="11.7265625" bestFit="1" customWidth="1"/>
    <col min="2" max="2" width="7.1796875" bestFit="1" customWidth="1"/>
    <col min="3" max="3" width="7.08984375" customWidth="1"/>
    <col min="4" max="4" width="23.26953125" customWidth="1"/>
    <col min="5" max="5" width="23.7265625" customWidth="1"/>
    <col min="6" max="7" width="16.54296875" bestFit="1" customWidth="1"/>
    <col min="8" max="8" width="13" bestFit="1" customWidth="1"/>
  </cols>
  <sheetData>
    <row r="3" spans="1:5" x14ac:dyDescent="0.35">
      <c r="D3" s="33" t="s">
        <v>44</v>
      </c>
    </row>
    <row r="4" spans="1:5" x14ac:dyDescent="0.35">
      <c r="A4" s="33" t="s">
        <v>46</v>
      </c>
      <c r="B4" s="33" t="s">
        <v>47</v>
      </c>
      <c r="C4" s="33" t="s">
        <v>0</v>
      </c>
      <c r="D4" t="s">
        <v>45</v>
      </c>
      <c r="E4" t="s">
        <v>43</v>
      </c>
    </row>
    <row r="5" spans="1:5" x14ac:dyDescent="0.35">
      <c r="A5" t="s">
        <v>48</v>
      </c>
      <c r="B5" t="s">
        <v>49</v>
      </c>
      <c r="C5" s="3" t="s">
        <v>50</v>
      </c>
      <c r="D5" s="36">
        <v>49.750000000000007</v>
      </c>
      <c r="E5" s="35">
        <v>36.166666666666657</v>
      </c>
    </row>
    <row r="6" spans="1:5" x14ac:dyDescent="0.35">
      <c r="B6" t="s">
        <v>51</v>
      </c>
      <c r="C6" s="3" t="s">
        <v>52</v>
      </c>
      <c r="D6" s="36">
        <v>19.000000000000014</v>
      </c>
      <c r="E6" s="35">
        <v>81.666666666666671</v>
      </c>
    </row>
    <row r="7" spans="1:5" x14ac:dyDescent="0.35">
      <c r="A7" t="s">
        <v>40</v>
      </c>
      <c r="D7" s="36">
        <v>68.750000000000028</v>
      </c>
      <c r="E7" s="35">
        <v>117.83333333333333</v>
      </c>
    </row>
  </sheetData>
  <pageMargins left="0.7" right="0.7" top="0.75" bottom="0.75" header="0.3" footer="0.3"/>
  <pageSetup paperSize="9" orientation="portrait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3"/>
  <sheetViews>
    <sheetView workbookViewId="0">
      <selection activeCell="D2" sqref="D2"/>
    </sheetView>
  </sheetViews>
  <sheetFormatPr baseColWidth="10" defaultRowHeight="14.5" x14ac:dyDescent="0.35"/>
  <cols>
    <col min="1" max="1" width="18.36328125" bestFit="1" customWidth="1"/>
  </cols>
  <sheetData>
    <row r="1" spans="1:17" s="39" customFormat="1" x14ac:dyDescent="0.35">
      <c r="A1" s="37" t="s">
        <v>11</v>
      </c>
      <c r="B1" s="38">
        <v>2018</v>
      </c>
      <c r="C1" s="38">
        <v>2019</v>
      </c>
      <c r="D1" s="38">
        <v>2020</v>
      </c>
      <c r="E1" s="38">
        <v>2021</v>
      </c>
      <c r="F1" s="38">
        <v>2022</v>
      </c>
      <c r="G1" s="38">
        <v>2023</v>
      </c>
      <c r="H1" s="38">
        <v>2024</v>
      </c>
      <c r="I1" s="38">
        <v>2025</v>
      </c>
      <c r="J1" s="38">
        <v>2026</v>
      </c>
      <c r="K1" s="38">
        <v>2027</v>
      </c>
      <c r="L1" s="38">
        <v>2028</v>
      </c>
      <c r="M1" s="38">
        <v>2029</v>
      </c>
      <c r="N1" s="38">
        <v>2030</v>
      </c>
      <c r="O1" s="38">
        <v>2031</v>
      </c>
      <c r="P1" s="38">
        <v>2032</v>
      </c>
      <c r="Q1" s="38">
        <v>2033</v>
      </c>
    </row>
    <row r="2" spans="1:17" x14ac:dyDescent="0.35">
      <c r="A2" s="1" t="s">
        <v>53</v>
      </c>
      <c r="B2" s="1">
        <f>DATE(B1,1,1)</f>
        <v>43101</v>
      </c>
      <c r="C2" s="1">
        <f>DATE(C1,1,1)</f>
        <v>43466</v>
      </c>
      <c r="D2" s="1">
        <f t="shared" ref="D2:Q2" si="0">DATE(D1,1,1)</f>
        <v>43831</v>
      </c>
      <c r="E2" s="1">
        <f t="shared" si="0"/>
        <v>44197</v>
      </c>
      <c r="F2" s="1">
        <f t="shared" si="0"/>
        <v>44562</v>
      </c>
      <c r="G2" s="1">
        <f t="shared" si="0"/>
        <v>44927</v>
      </c>
      <c r="H2" s="1">
        <f t="shared" si="0"/>
        <v>45292</v>
      </c>
      <c r="I2" s="1">
        <f t="shared" si="0"/>
        <v>45658</v>
      </c>
      <c r="J2" s="1">
        <f t="shared" si="0"/>
        <v>46023</v>
      </c>
      <c r="K2" s="1">
        <f t="shared" si="0"/>
        <v>46388</v>
      </c>
      <c r="L2" s="1">
        <f t="shared" si="0"/>
        <v>46753</v>
      </c>
      <c r="M2" s="1">
        <f t="shared" si="0"/>
        <v>47119</v>
      </c>
      <c r="N2" s="1">
        <f t="shared" si="0"/>
        <v>47484</v>
      </c>
      <c r="O2" s="1">
        <f t="shared" si="0"/>
        <v>47849</v>
      </c>
      <c r="P2" s="1">
        <f t="shared" si="0"/>
        <v>48214</v>
      </c>
      <c r="Q2" s="1">
        <f t="shared" si="0"/>
        <v>48580</v>
      </c>
    </row>
    <row r="3" spans="1:17" x14ac:dyDescent="0.35">
      <c r="A3" s="1" t="s">
        <v>54</v>
      </c>
      <c r="B3" s="1">
        <f>ROUND(DATE(B1,4,MOD(234-11*MOD(B1,19),30))/7,0)*7-6</f>
        <v>43191</v>
      </c>
      <c r="C3" s="1">
        <f>ROUND(DATE(C1,4,MOD(234-11*MOD(C1,19),30))/7,0)*7-6</f>
        <v>43576</v>
      </c>
      <c r="D3" s="1">
        <f t="shared" ref="D3:Q3" si="1">ROUND(DATE(D1,4,MOD(234-11*MOD(D1,19),30))/7,0)*7-6</f>
        <v>43933</v>
      </c>
      <c r="E3" s="1">
        <f t="shared" si="1"/>
        <v>44290</v>
      </c>
      <c r="F3" s="1">
        <f t="shared" si="1"/>
        <v>44668</v>
      </c>
      <c r="G3" s="1">
        <f t="shared" si="1"/>
        <v>45025</v>
      </c>
      <c r="H3" s="1">
        <f t="shared" si="1"/>
        <v>45382</v>
      </c>
      <c r="I3" s="1">
        <f t="shared" si="1"/>
        <v>45767</v>
      </c>
      <c r="J3" s="1">
        <f t="shared" si="1"/>
        <v>46117</v>
      </c>
      <c r="K3" s="1">
        <f t="shared" si="1"/>
        <v>46474</v>
      </c>
      <c r="L3" s="1">
        <f t="shared" si="1"/>
        <v>46859</v>
      </c>
      <c r="M3" s="1">
        <f t="shared" si="1"/>
        <v>47209</v>
      </c>
      <c r="N3" s="1">
        <f t="shared" si="1"/>
        <v>47594</v>
      </c>
      <c r="O3" s="1">
        <f t="shared" si="1"/>
        <v>47951</v>
      </c>
      <c r="P3" s="1">
        <f t="shared" si="1"/>
        <v>48301</v>
      </c>
      <c r="Q3" s="1">
        <f t="shared" si="1"/>
        <v>48686</v>
      </c>
    </row>
    <row r="4" spans="1:17" x14ac:dyDescent="0.35">
      <c r="A4" s="1" t="s">
        <v>7</v>
      </c>
      <c r="B4" s="1">
        <f>B3+1</f>
        <v>43192</v>
      </c>
      <c r="C4" s="1">
        <f>C3+1</f>
        <v>43577</v>
      </c>
      <c r="D4" s="1">
        <f t="shared" ref="D4:Q4" si="2">D3+1</f>
        <v>43934</v>
      </c>
      <c r="E4" s="1">
        <f t="shared" si="2"/>
        <v>44291</v>
      </c>
      <c r="F4" s="1">
        <f t="shared" si="2"/>
        <v>44669</v>
      </c>
      <c r="G4" s="1">
        <f t="shared" si="2"/>
        <v>45026</v>
      </c>
      <c r="H4" s="1">
        <f t="shared" si="2"/>
        <v>45383</v>
      </c>
      <c r="I4" s="1">
        <f t="shared" si="2"/>
        <v>45768</v>
      </c>
      <c r="J4" s="1">
        <f t="shared" si="2"/>
        <v>46118</v>
      </c>
      <c r="K4" s="1">
        <f t="shared" si="2"/>
        <v>46475</v>
      </c>
      <c r="L4" s="1">
        <f t="shared" si="2"/>
        <v>46860</v>
      </c>
      <c r="M4" s="1">
        <f t="shared" si="2"/>
        <v>47210</v>
      </c>
      <c r="N4" s="1">
        <f t="shared" si="2"/>
        <v>47595</v>
      </c>
      <c r="O4" s="1">
        <f t="shared" si="2"/>
        <v>47952</v>
      </c>
      <c r="P4" s="1">
        <f t="shared" si="2"/>
        <v>48302</v>
      </c>
      <c r="Q4" s="1">
        <f t="shared" si="2"/>
        <v>48687</v>
      </c>
    </row>
    <row r="5" spans="1:17" x14ac:dyDescent="0.35">
      <c r="A5" s="1" t="s">
        <v>55</v>
      </c>
      <c r="B5" s="1">
        <f>DATE(B1,5,1)</f>
        <v>43221</v>
      </c>
      <c r="C5" s="1">
        <f>DATE(C1,5,1)</f>
        <v>43586</v>
      </c>
      <c r="D5" s="1">
        <f t="shared" ref="D5:Q5" si="3">DATE(D1,5,1)</f>
        <v>43952</v>
      </c>
      <c r="E5" s="1">
        <f t="shared" si="3"/>
        <v>44317</v>
      </c>
      <c r="F5" s="1">
        <f t="shared" si="3"/>
        <v>44682</v>
      </c>
      <c r="G5" s="1">
        <f t="shared" si="3"/>
        <v>45047</v>
      </c>
      <c r="H5" s="1">
        <f t="shared" si="3"/>
        <v>45413</v>
      </c>
      <c r="I5" s="1">
        <f t="shared" si="3"/>
        <v>45778</v>
      </c>
      <c r="J5" s="1">
        <f t="shared" si="3"/>
        <v>46143</v>
      </c>
      <c r="K5" s="1">
        <f t="shared" si="3"/>
        <v>46508</v>
      </c>
      <c r="L5" s="1">
        <f t="shared" si="3"/>
        <v>46874</v>
      </c>
      <c r="M5" s="1">
        <f t="shared" si="3"/>
        <v>47239</v>
      </c>
      <c r="N5" s="1">
        <f t="shared" si="3"/>
        <v>47604</v>
      </c>
      <c r="O5" s="1">
        <f t="shared" si="3"/>
        <v>47969</v>
      </c>
      <c r="P5" s="1">
        <f t="shared" si="3"/>
        <v>48335</v>
      </c>
      <c r="Q5" s="1">
        <f t="shared" si="3"/>
        <v>48700</v>
      </c>
    </row>
    <row r="6" spans="1:17" x14ac:dyDescent="0.35">
      <c r="A6" s="1" t="s">
        <v>56</v>
      </c>
      <c r="B6" s="1">
        <f>DATE(B1,5,8)</f>
        <v>43228</v>
      </c>
      <c r="C6" s="1">
        <f>DATE(C1,5,8)</f>
        <v>43593</v>
      </c>
      <c r="D6" s="1">
        <f t="shared" ref="D6:Q6" si="4">DATE(D1,5,8)</f>
        <v>43959</v>
      </c>
      <c r="E6" s="1">
        <f t="shared" si="4"/>
        <v>44324</v>
      </c>
      <c r="F6" s="1">
        <f t="shared" si="4"/>
        <v>44689</v>
      </c>
      <c r="G6" s="1">
        <f t="shared" si="4"/>
        <v>45054</v>
      </c>
      <c r="H6" s="1">
        <f t="shared" si="4"/>
        <v>45420</v>
      </c>
      <c r="I6" s="1">
        <f t="shared" si="4"/>
        <v>45785</v>
      </c>
      <c r="J6" s="1">
        <f t="shared" si="4"/>
        <v>46150</v>
      </c>
      <c r="K6" s="1">
        <f t="shared" si="4"/>
        <v>46515</v>
      </c>
      <c r="L6" s="1">
        <f t="shared" si="4"/>
        <v>46881</v>
      </c>
      <c r="M6" s="1">
        <f t="shared" si="4"/>
        <v>47246</v>
      </c>
      <c r="N6" s="1">
        <f t="shared" si="4"/>
        <v>47611</v>
      </c>
      <c r="O6" s="1">
        <f t="shared" si="4"/>
        <v>47976</v>
      </c>
      <c r="P6" s="1">
        <f t="shared" si="4"/>
        <v>48342</v>
      </c>
      <c r="Q6" s="1">
        <f t="shared" si="4"/>
        <v>48707</v>
      </c>
    </row>
    <row r="7" spans="1:17" x14ac:dyDescent="0.35">
      <c r="A7" s="1" t="s">
        <v>57</v>
      </c>
      <c r="B7" s="1">
        <f>B3+39</f>
        <v>43230</v>
      </c>
      <c r="C7" s="1">
        <f>C3+39</f>
        <v>43615</v>
      </c>
      <c r="D7" s="1">
        <f t="shared" ref="D7:Q7" si="5">D3+39</f>
        <v>43972</v>
      </c>
      <c r="E7" s="1">
        <f t="shared" si="5"/>
        <v>44329</v>
      </c>
      <c r="F7" s="1">
        <f t="shared" si="5"/>
        <v>44707</v>
      </c>
      <c r="G7" s="1">
        <f t="shared" si="5"/>
        <v>45064</v>
      </c>
      <c r="H7" s="1">
        <f t="shared" si="5"/>
        <v>45421</v>
      </c>
      <c r="I7" s="1">
        <f t="shared" si="5"/>
        <v>45806</v>
      </c>
      <c r="J7" s="1">
        <f t="shared" si="5"/>
        <v>46156</v>
      </c>
      <c r="K7" s="1">
        <f t="shared" si="5"/>
        <v>46513</v>
      </c>
      <c r="L7" s="1">
        <f t="shared" si="5"/>
        <v>46898</v>
      </c>
      <c r="M7" s="1">
        <f t="shared" si="5"/>
        <v>47248</v>
      </c>
      <c r="N7" s="1">
        <f t="shared" si="5"/>
        <v>47633</v>
      </c>
      <c r="O7" s="1">
        <f t="shared" si="5"/>
        <v>47990</v>
      </c>
      <c r="P7" s="1">
        <f t="shared" si="5"/>
        <v>48340</v>
      </c>
      <c r="Q7" s="1">
        <f t="shared" si="5"/>
        <v>48725</v>
      </c>
    </row>
    <row r="8" spans="1:17" x14ac:dyDescent="0.35">
      <c r="A8" s="1" t="s">
        <v>58</v>
      </c>
      <c r="B8" s="1">
        <f>B3+50</f>
        <v>43241</v>
      </c>
      <c r="C8" s="1">
        <f>C3+50</f>
        <v>43626</v>
      </c>
      <c r="D8" s="1">
        <f t="shared" ref="D8:Q8" si="6">D3+50</f>
        <v>43983</v>
      </c>
      <c r="E8" s="1">
        <f t="shared" si="6"/>
        <v>44340</v>
      </c>
      <c r="F8" s="1">
        <f t="shared" si="6"/>
        <v>44718</v>
      </c>
      <c r="G8" s="1">
        <f t="shared" si="6"/>
        <v>45075</v>
      </c>
      <c r="H8" s="1">
        <f t="shared" si="6"/>
        <v>45432</v>
      </c>
      <c r="I8" s="1">
        <f t="shared" si="6"/>
        <v>45817</v>
      </c>
      <c r="J8" s="1">
        <f t="shared" si="6"/>
        <v>46167</v>
      </c>
      <c r="K8" s="1">
        <f t="shared" si="6"/>
        <v>46524</v>
      </c>
      <c r="L8" s="1">
        <f t="shared" si="6"/>
        <v>46909</v>
      </c>
      <c r="M8" s="1">
        <f t="shared" si="6"/>
        <v>47259</v>
      </c>
      <c r="N8" s="1">
        <f t="shared" si="6"/>
        <v>47644</v>
      </c>
      <c r="O8" s="1">
        <f t="shared" si="6"/>
        <v>48001</v>
      </c>
      <c r="P8" s="1">
        <f t="shared" si="6"/>
        <v>48351</v>
      </c>
      <c r="Q8" s="1">
        <f t="shared" si="6"/>
        <v>48736</v>
      </c>
    </row>
    <row r="9" spans="1:17" x14ac:dyDescent="0.35">
      <c r="A9" s="1" t="s">
        <v>59</v>
      </c>
      <c r="B9" s="1">
        <f>DATE(B1,7,14)</f>
        <v>43295</v>
      </c>
      <c r="C9" s="1">
        <f>DATE(C1,7,14)</f>
        <v>43660</v>
      </c>
      <c r="D9" s="1">
        <f t="shared" ref="D9:Q9" si="7">DATE(D1,7,14)</f>
        <v>44026</v>
      </c>
      <c r="E9" s="1">
        <f t="shared" si="7"/>
        <v>44391</v>
      </c>
      <c r="F9" s="1">
        <f t="shared" si="7"/>
        <v>44756</v>
      </c>
      <c r="G9" s="1">
        <f t="shared" si="7"/>
        <v>45121</v>
      </c>
      <c r="H9" s="1">
        <f t="shared" si="7"/>
        <v>45487</v>
      </c>
      <c r="I9" s="1">
        <f t="shared" si="7"/>
        <v>45852</v>
      </c>
      <c r="J9" s="1">
        <f t="shared" si="7"/>
        <v>46217</v>
      </c>
      <c r="K9" s="1">
        <f t="shared" si="7"/>
        <v>46582</v>
      </c>
      <c r="L9" s="1">
        <f t="shared" si="7"/>
        <v>46948</v>
      </c>
      <c r="M9" s="1">
        <f t="shared" si="7"/>
        <v>47313</v>
      </c>
      <c r="N9" s="1">
        <f t="shared" si="7"/>
        <v>47678</v>
      </c>
      <c r="O9" s="1">
        <f t="shared" si="7"/>
        <v>48043</v>
      </c>
      <c r="P9" s="1">
        <f t="shared" si="7"/>
        <v>48409</v>
      </c>
      <c r="Q9" s="1">
        <f t="shared" si="7"/>
        <v>48774</v>
      </c>
    </row>
    <row r="10" spans="1:17" x14ac:dyDescent="0.35">
      <c r="A10" s="1" t="s">
        <v>8</v>
      </c>
      <c r="B10" s="1">
        <f>DATE(B1,8,15)</f>
        <v>43327</v>
      </c>
      <c r="C10" s="1">
        <f>DATE(C1,8,15)</f>
        <v>43692</v>
      </c>
      <c r="D10" s="1">
        <f t="shared" ref="D10:Q10" si="8">DATE(D1,8,15)</f>
        <v>44058</v>
      </c>
      <c r="E10" s="1">
        <f t="shared" si="8"/>
        <v>44423</v>
      </c>
      <c r="F10" s="1">
        <f t="shared" si="8"/>
        <v>44788</v>
      </c>
      <c r="G10" s="1">
        <f t="shared" si="8"/>
        <v>45153</v>
      </c>
      <c r="H10" s="1">
        <f t="shared" si="8"/>
        <v>45519</v>
      </c>
      <c r="I10" s="1">
        <f t="shared" si="8"/>
        <v>45884</v>
      </c>
      <c r="J10" s="1">
        <f t="shared" si="8"/>
        <v>46249</v>
      </c>
      <c r="K10" s="1">
        <f t="shared" si="8"/>
        <v>46614</v>
      </c>
      <c r="L10" s="1">
        <f t="shared" si="8"/>
        <v>46980</v>
      </c>
      <c r="M10" s="1">
        <f t="shared" si="8"/>
        <v>47345</v>
      </c>
      <c r="N10" s="1">
        <f t="shared" si="8"/>
        <v>47710</v>
      </c>
      <c r="O10" s="1">
        <f t="shared" si="8"/>
        <v>48075</v>
      </c>
      <c r="P10" s="1">
        <f t="shared" si="8"/>
        <v>48441</v>
      </c>
      <c r="Q10" s="1">
        <f t="shared" si="8"/>
        <v>48806</v>
      </c>
    </row>
    <row r="11" spans="1:17" x14ac:dyDescent="0.35">
      <c r="A11" s="1" t="s">
        <v>60</v>
      </c>
      <c r="B11" s="1">
        <f>DATE(B1,11,1)</f>
        <v>43405</v>
      </c>
      <c r="C11" s="1">
        <f>DATE(C1,11,1)</f>
        <v>43770</v>
      </c>
      <c r="D11" s="1">
        <f t="shared" ref="D11:Q11" si="9">DATE(D1,11,1)</f>
        <v>44136</v>
      </c>
      <c r="E11" s="1">
        <f t="shared" si="9"/>
        <v>44501</v>
      </c>
      <c r="F11" s="1">
        <f t="shared" si="9"/>
        <v>44866</v>
      </c>
      <c r="G11" s="1">
        <f t="shared" si="9"/>
        <v>45231</v>
      </c>
      <c r="H11" s="1">
        <f t="shared" si="9"/>
        <v>45597</v>
      </c>
      <c r="I11" s="1">
        <f t="shared" si="9"/>
        <v>45962</v>
      </c>
      <c r="J11" s="1">
        <f t="shared" si="9"/>
        <v>46327</v>
      </c>
      <c r="K11" s="1">
        <f t="shared" si="9"/>
        <v>46692</v>
      </c>
      <c r="L11" s="1">
        <f t="shared" si="9"/>
        <v>47058</v>
      </c>
      <c r="M11" s="1">
        <f t="shared" si="9"/>
        <v>47423</v>
      </c>
      <c r="N11" s="1">
        <f t="shared" si="9"/>
        <v>47788</v>
      </c>
      <c r="O11" s="1">
        <f t="shared" si="9"/>
        <v>48153</v>
      </c>
      <c r="P11" s="1">
        <f t="shared" si="9"/>
        <v>48519</v>
      </c>
      <c r="Q11" s="1">
        <f t="shared" si="9"/>
        <v>48884</v>
      </c>
    </row>
    <row r="12" spans="1:17" x14ac:dyDescent="0.35">
      <c r="A12" s="1" t="s">
        <v>9</v>
      </c>
      <c r="B12" s="1">
        <f>DATE(B1,11,11)</f>
        <v>43415</v>
      </c>
      <c r="C12" s="1">
        <f>DATE(C1,11,11)</f>
        <v>43780</v>
      </c>
      <c r="D12" s="1">
        <f t="shared" ref="D12:Q12" si="10">DATE(D1,11,11)</f>
        <v>44146</v>
      </c>
      <c r="E12" s="1">
        <f t="shared" si="10"/>
        <v>44511</v>
      </c>
      <c r="F12" s="1">
        <f t="shared" si="10"/>
        <v>44876</v>
      </c>
      <c r="G12" s="1">
        <f t="shared" si="10"/>
        <v>45241</v>
      </c>
      <c r="H12" s="1">
        <f t="shared" si="10"/>
        <v>45607</v>
      </c>
      <c r="I12" s="1">
        <f t="shared" si="10"/>
        <v>45972</v>
      </c>
      <c r="J12" s="1">
        <f t="shared" si="10"/>
        <v>46337</v>
      </c>
      <c r="K12" s="1">
        <f t="shared" si="10"/>
        <v>46702</v>
      </c>
      <c r="L12" s="1">
        <f t="shared" si="10"/>
        <v>47068</v>
      </c>
      <c r="M12" s="1">
        <f t="shared" si="10"/>
        <v>47433</v>
      </c>
      <c r="N12" s="1">
        <f t="shared" si="10"/>
        <v>47798</v>
      </c>
      <c r="O12" s="1">
        <f t="shared" si="10"/>
        <v>48163</v>
      </c>
      <c r="P12" s="1">
        <f t="shared" si="10"/>
        <v>48529</v>
      </c>
      <c r="Q12" s="1">
        <f t="shared" si="10"/>
        <v>48894</v>
      </c>
    </row>
    <row r="13" spans="1:17" x14ac:dyDescent="0.35">
      <c r="A13" s="1" t="s">
        <v>10</v>
      </c>
      <c r="B13" s="1">
        <f>DATE(B1,12,25)</f>
        <v>43459</v>
      </c>
      <c r="C13" s="1">
        <f>DATE(C1,12,25)</f>
        <v>43824</v>
      </c>
      <c r="D13" s="1">
        <f t="shared" ref="D13:Q13" si="11">DATE(D1,12,25)</f>
        <v>44190</v>
      </c>
      <c r="E13" s="1">
        <f t="shared" si="11"/>
        <v>44555</v>
      </c>
      <c r="F13" s="1">
        <f t="shared" si="11"/>
        <v>44920</v>
      </c>
      <c r="G13" s="1">
        <f t="shared" si="11"/>
        <v>45285</v>
      </c>
      <c r="H13" s="1">
        <f t="shared" si="11"/>
        <v>45651</v>
      </c>
      <c r="I13" s="1">
        <f t="shared" si="11"/>
        <v>46016</v>
      </c>
      <c r="J13" s="1">
        <f t="shared" si="11"/>
        <v>46381</v>
      </c>
      <c r="K13" s="1">
        <f t="shared" si="11"/>
        <v>46746</v>
      </c>
      <c r="L13" s="1">
        <f t="shared" si="11"/>
        <v>47112</v>
      </c>
      <c r="M13" s="1">
        <f t="shared" si="11"/>
        <v>47477</v>
      </c>
      <c r="N13" s="1">
        <f t="shared" si="11"/>
        <v>47842</v>
      </c>
      <c r="O13" s="1">
        <f t="shared" si="11"/>
        <v>48207</v>
      </c>
      <c r="P13" s="1">
        <f t="shared" si="11"/>
        <v>48573</v>
      </c>
      <c r="Q13" s="1">
        <f t="shared" si="11"/>
        <v>48938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9"/>
  <sheetViews>
    <sheetView workbookViewId="0">
      <selection activeCell="G13" sqref="G13"/>
    </sheetView>
  </sheetViews>
  <sheetFormatPr baseColWidth="10" defaultRowHeight="14.5" x14ac:dyDescent="0.35"/>
  <cols>
    <col min="1" max="1" width="21.36328125" style="21" bestFit="1" customWidth="1"/>
    <col min="2" max="2" width="10.90625" style="30"/>
    <col min="3" max="16384" width="10.90625" style="21"/>
  </cols>
  <sheetData>
    <row r="1" spans="1:2" x14ac:dyDescent="0.35">
      <c r="A1" s="23" t="s">
        <v>30</v>
      </c>
      <c r="B1" s="28">
        <v>24</v>
      </c>
    </row>
    <row r="2" spans="1:2" x14ac:dyDescent="0.35">
      <c r="A2" s="24"/>
      <c r="B2" s="28">
        <v>12</v>
      </c>
    </row>
    <row r="4" spans="1:2" x14ac:dyDescent="0.35">
      <c r="A4" s="22" t="s">
        <v>34</v>
      </c>
      <c r="B4" s="29">
        <v>0.33333333333333331</v>
      </c>
    </row>
    <row r="6" spans="1:2" x14ac:dyDescent="0.35">
      <c r="A6" s="22" t="s">
        <v>32</v>
      </c>
      <c r="B6" s="29">
        <v>0.29166666666666669</v>
      </c>
    </row>
    <row r="7" spans="1:2" x14ac:dyDescent="0.35">
      <c r="A7" s="22" t="s">
        <v>33</v>
      </c>
      <c r="B7" s="29">
        <v>0.91666666666666663</v>
      </c>
    </row>
    <row r="9" spans="1:2" x14ac:dyDescent="0.35">
      <c r="A9" s="22" t="s">
        <v>35</v>
      </c>
      <c r="B9" s="31">
        <v>3</v>
      </c>
    </row>
    <row r="10" spans="1:2" x14ac:dyDescent="0.35">
      <c r="A10" s="22" t="s">
        <v>36</v>
      </c>
      <c r="B10" s="31">
        <v>4</v>
      </c>
    </row>
    <row r="11" spans="1:2" x14ac:dyDescent="0.35">
      <c r="A11" s="22" t="s">
        <v>37</v>
      </c>
      <c r="B11" s="31">
        <v>5</v>
      </c>
    </row>
    <row r="12" spans="1:2" x14ac:dyDescent="0.35">
      <c r="A12" s="22" t="s">
        <v>38</v>
      </c>
      <c r="B12" s="31">
        <v>6</v>
      </c>
    </row>
    <row r="14" spans="1:2" x14ac:dyDescent="0.35">
      <c r="A14" s="25" t="s">
        <v>31</v>
      </c>
      <c r="B14" s="28" t="s">
        <v>3</v>
      </c>
    </row>
    <row r="15" spans="1:2" x14ac:dyDescent="0.35">
      <c r="A15" s="26"/>
      <c r="B15" s="28" t="s">
        <v>5</v>
      </c>
    </row>
    <row r="16" spans="1:2" x14ac:dyDescent="0.35">
      <c r="A16" s="26"/>
      <c r="B16" s="28" t="s">
        <v>4</v>
      </c>
    </row>
    <row r="17" spans="1:2" x14ac:dyDescent="0.35">
      <c r="A17" s="26"/>
      <c r="B17" s="28" t="s">
        <v>6</v>
      </c>
    </row>
    <row r="18" spans="1:2" x14ac:dyDescent="0.35">
      <c r="A18" s="26"/>
      <c r="B18" s="28"/>
    </row>
    <row r="19" spans="1:2" x14ac:dyDescent="0.35">
      <c r="A19" s="27"/>
      <c r="B19" s="28"/>
    </row>
  </sheetData>
  <mergeCells count="1">
    <mergeCell ref="A1:A2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10</vt:i4>
      </vt:variant>
    </vt:vector>
  </HeadingPairs>
  <TitlesOfParts>
    <vt:vector size="14" baseType="lpstr">
      <vt:lpstr>Données</vt:lpstr>
      <vt:lpstr>Synthèse</vt:lpstr>
      <vt:lpstr>JoursFériés</vt:lpstr>
      <vt:lpstr>Paramètres</vt:lpstr>
      <vt:lpstr>DebNuit</vt:lpstr>
      <vt:lpstr>FinNuit</vt:lpstr>
      <vt:lpstr>garde</vt:lpstr>
      <vt:lpstr>JF</vt:lpstr>
      <vt:lpstr>PPoste</vt:lpstr>
      <vt:lpstr>TAUX1</vt:lpstr>
      <vt:lpstr>TAUX2</vt:lpstr>
      <vt:lpstr>TAUX3</vt:lpstr>
      <vt:lpstr>TAUX4</vt:lpstr>
      <vt:lpstr>véhicule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2018-05-29T11:35:34Z</dcterms:modified>
</cp:coreProperties>
</file>