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2"/>
  </bookViews>
  <sheets>
    <sheet name="horaires" sheetId="2" r:id="rId1"/>
    <sheet name="JF" sheetId="3" r:id="rId2"/>
    <sheet name="calcul détaillé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4" l="1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2" i="4"/>
  <c r="A14" i="3" l="1"/>
  <c r="C25" i="3"/>
  <c r="C24" i="3"/>
  <c r="C23" i="3"/>
  <c r="C22" i="3"/>
  <c r="C21" i="3"/>
  <c r="C18" i="3"/>
  <c r="C17" i="3"/>
  <c r="C15" i="3"/>
  <c r="C20" i="3" s="1"/>
  <c r="C14" i="3"/>
  <c r="C19" i="3" l="1"/>
  <c r="C16" i="3"/>
  <c r="B4" i="2"/>
  <c r="C13" i="3" l="1"/>
  <c r="C12" i="3"/>
  <c r="C11" i="3"/>
  <c r="C10" i="3"/>
  <c r="C9" i="3"/>
  <c r="C6" i="3"/>
  <c r="C5" i="3"/>
  <c r="C3" i="3"/>
  <c r="C7" i="3" s="1"/>
  <c r="C2" i="3"/>
  <c r="C4" i="2"/>
  <c r="C5" i="2"/>
  <c r="D5" i="2" s="1"/>
  <c r="K3" i="2"/>
  <c r="E28" i="4" l="1"/>
  <c r="E29" i="4"/>
  <c r="F30" i="4"/>
  <c r="E35" i="4"/>
  <c r="E36" i="4"/>
  <c r="E37" i="4"/>
  <c r="F38" i="4"/>
  <c r="E43" i="4"/>
  <c r="E44" i="4"/>
  <c r="E45" i="4"/>
  <c r="F46" i="4"/>
  <c r="E51" i="4"/>
  <c r="E52" i="4"/>
  <c r="E53" i="4"/>
  <c r="F54" i="4"/>
  <c r="E59" i="4"/>
  <c r="E60" i="4"/>
  <c r="E61" i="4"/>
  <c r="F21" i="4"/>
  <c r="F22" i="4"/>
  <c r="E27" i="4"/>
  <c r="F16" i="4"/>
  <c r="E15" i="4"/>
  <c r="F12" i="4"/>
  <c r="E11" i="4"/>
  <c r="F8" i="4"/>
  <c r="E7" i="4"/>
  <c r="F4" i="4"/>
  <c r="E3" i="4"/>
  <c r="F31" i="4"/>
  <c r="F39" i="4"/>
  <c r="E46" i="4"/>
  <c r="F49" i="4"/>
  <c r="F57" i="4"/>
  <c r="F15" i="4"/>
  <c r="E10" i="4"/>
  <c r="F7" i="4"/>
  <c r="F28" i="4"/>
  <c r="F29" i="4"/>
  <c r="E34" i="4"/>
  <c r="F35" i="4"/>
  <c r="F36" i="4"/>
  <c r="F37" i="4"/>
  <c r="E42" i="4"/>
  <c r="F43" i="4"/>
  <c r="F44" i="4"/>
  <c r="F45" i="4"/>
  <c r="E50" i="4"/>
  <c r="F51" i="4"/>
  <c r="F52" i="4"/>
  <c r="F53" i="4"/>
  <c r="E58" i="4"/>
  <c r="F59" i="4"/>
  <c r="F60" i="4"/>
  <c r="F61" i="4"/>
  <c r="E24" i="4"/>
  <c r="E25" i="4"/>
  <c r="E26" i="4"/>
  <c r="F27" i="4"/>
  <c r="F19" i="4"/>
  <c r="F18" i="4"/>
  <c r="F17" i="4"/>
  <c r="E16" i="4"/>
  <c r="F13" i="4"/>
  <c r="E12" i="4"/>
  <c r="F9" i="4"/>
  <c r="E8" i="4"/>
  <c r="F5" i="4"/>
  <c r="E4" i="4"/>
  <c r="E30" i="4"/>
  <c r="F33" i="4"/>
  <c r="F40" i="4"/>
  <c r="F47" i="4"/>
  <c r="E54" i="4"/>
  <c r="F56" i="4"/>
  <c r="E22" i="4"/>
  <c r="F23" i="4"/>
  <c r="E6" i="4"/>
  <c r="F3" i="4"/>
  <c r="E31" i="4"/>
  <c r="E32" i="4"/>
  <c r="E33" i="4"/>
  <c r="F34" i="4"/>
  <c r="E39" i="4"/>
  <c r="E40" i="4"/>
  <c r="E41" i="4"/>
  <c r="F42" i="4"/>
  <c r="E47" i="4"/>
  <c r="E48" i="4"/>
  <c r="E49" i="4"/>
  <c r="F50" i="4"/>
  <c r="E55" i="4"/>
  <c r="E56" i="4"/>
  <c r="E57" i="4"/>
  <c r="F58" i="4"/>
  <c r="E23" i="4"/>
  <c r="F24" i="4"/>
  <c r="F25" i="4"/>
  <c r="F26" i="4"/>
  <c r="F20" i="4"/>
  <c r="E19" i="4"/>
  <c r="E18" i="4"/>
  <c r="E17" i="4"/>
  <c r="F14" i="4"/>
  <c r="E13" i="4"/>
  <c r="F10" i="4"/>
  <c r="E9" i="4"/>
  <c r="F6" i="4"/>
  <c r="E5" i="4"/>
  <c r="F32" i="4"/>
  <c r="E38" i="4"/>
  <c r="F41" i="4"/>
  <c r="F48" i="4"/>
  <c r="F55" i="4"/>
  <c r="E21" i="4"/>
  <c r="E20" i="4"/>
  <c r="E14" i="4"/>
  <c r="F11" i="4"/>
  <c r="F2" i="4"/>
  <c r="E2" i="4"/>
  <c r="E5" i="2"/>
  <c r="E4" i="2"/>
  <c r="D4" i="2"/>
  <c r="C4" i="3"/>
  <c r="C8" i="3"/>
  <c r="C8" i="2" l="1"/>
  <c r="G8" i="2"/>
  <c r="K8" i="2"/>
  <c r="N8" i="2"/>
  <c r="D8" i="2"/>
  <c r="H8" i="2"/>
  <c r="L8" i="2"/>
  <c r="B8" i="2"/>
  <c r="E8" i="2"/>
  <c r="I8" i="2"/>
  <c r="M8" i="2"/>
  <c r="F8" i="2"/>
  <c r="J8" i="2"/>
  <c r="F5" i="2"/>
  <c r="F4" i="2"/>
  <c r="G5" i="2" l="1"/>
  <c r="G4" i="2"/>
  <c r="S8" i="2" l="1"/>
  <c r="Q8" i="2"/>
  <c r="R8" i="2"/>
  <c r="P8" i="2"/>
  <c r="U8" i="2"/>
  <c r="T8" i="2"/>
  <c r="O8" i="2"/>
  <c r="H5" i="2"/>
  <c r="H4" i="2"/>
  <c r="I5" i="2" l="1"/>
  <c r="I4" i="2"/>
  <c r="X8" i="2" s="1"/>
  <c r="H3" i="4" l="1"/>
  <c r="H19" i="4"/>
  <c r="H35" i="4"/>
  <c r="H51" i="4"/>
  <c r="J12" i="2"/>
  <c r="Z12" i="2"/>
  <c r="H34" i="4"/>
  <c r="Y12" i="2"/>
  <c r="H16" i="4"/>
  <c r="H32" i="4"/>
  <c r="H48" i="4"/>
  <c r="G12" i="2"/>
  <c r="W12" i="2"/>
  <c r="H18" i="4"/>
  <c r="U12" i="2"/>
  <c r="H17" i="4"/>
  <c r="H33" i="4"/>
  <c r="H49" i="4"/>
  <c r="H12" i="2"/>
  <c r="X12" i="2"/>
  <c r="H22" i="4"/>
  <c r="H2" i="4"/>
  <c r="H7" i="4"/>
  <c r="H23" i="4"/>
  <c r="H39" i="4"/>
  <c r="H55" i="4"/>
  <c r="N12" i="2"/>
  <c r="D12" i="2"/>
  <c r="H42" i="4"/>
  <c r="H4" i="4"/>
  <c r="H20" i="4"/>
  <c r="H36" i="4"/>
  <c r="H52" i="4"/>
  <c r="K12" i="2"/>
  <c r="AA12" i="2"/>
  <c r="H30" i="4"/>
  <c r="H5" i="4"/>
  <c r="H21" i="4"/>
  <c r="H37" i="4"/>
  <c r="H53" i="4"/>
  <c r="L12" i="2"/>
  <c r="AB12" i="2"/>
  <c r="H38" i="4"/>
  <c r="Q12" i="2"/>
  <c r="H11" i="4"/>
  <c r="H27" i="4"/>
  <c r="H43" i="4"/>
  <c r="H59" i="4"/>
  <c r="R12" i="2"/>
  <c r="H14" i="4"/>
  <c r="H58" i="4"/>
  <c r="H8" i="4"/>
  <c r="H24" i="4"/>
  <c r="H40" i="4"/>
  <c r="H56" i="4"/>
  <c r="O12" i="2"/>
  <c r="E12" i="2"/>
  <c r="H50" i="4"/>
  <c r="H9" i="4"/>
  <c r="H25" i="4"/>
  <c r="H41" i="4"/>
  <c r="H57" i="4"/>
  <c r="P12" i="2"/>
  <c r="B12" i="2"/>
  <c r="H46" i="4"/>
  <c r="C12" i="2"/>
  <c r="H15" i="4"/>
  <c r="H31" i="4"/>
  <c r="H47" i="4"/>
  <c r="F12" i="2"/>
  <c r="V12" i="2"/>
  <c r="H26" i="4"/>
  <c r="M12" i="2"/>
  <c r="H12" i="4"/>
  <c r="H28" i="4"/>
  <c r="H44" i="4"/>
  <c r="H60" i="4"/>
  <c r="S12" i="2"/>
  <c r="H6" i="4"/>
  <c r="I12" i="2"/>
  <c r="H13" i="4"/>
  <c r="H29" i="4"/>
  <c r="H45" i="4"/>
  <c r="H61" i="4"/>
  <c r="T12" i="2"/>
  <c r="H10" i="4"/>
  <c r="H54" i="4"/>
  <c r="G31" i="4"/>
  <c r="G32" i="4"/>
  <c r="G33" i="4"/>
  <c r="G39" i="4"/>
  <c r="G40" i="4"/>
  <c r="G41" i="4"/>
  <c r="G47" i="4"/>
  <c r="G48" i="4"/>
  <c r="G49" i="4"/>
  <c r="G55" i="4"/>
  <c r="G56" i="4"/>
  <c r="G57" i="4"/>
  <c r="G23" i="4"/>
  <c r="G19" i="4"/>
  <c r="G18" i="4"/>
  <c r="G17" i="4"/>
  <c r="G13" i="4"/>
  <c r="G9" i="4"/>
  <c r="G5" i="4"/>
  <c r="G34" i="4"/>
  <c r="G42" i="4"/>
  <c r="G24" i="4"/>
  <c r="G4" i="4"/>
  <c r="G30" i="4"/>
  <c r="G38" i="4"/>
  <c r="G46" i="4"/>
  <c r="G54" i="4"/>
  <c r="G21" i="4"/>
  <c r="G22" i="4"/>
  <c r="G20" i="4"/>
  <c r="G14" i="4"/>
  <c r="G10" i="4"/>
  <c r="G6" i="4"/>
  <c r="G50" i="4"/>
  <c r="G26" i="4"/>
  <c r="G16" i="4"/>
  <c r="G12" i="4"/>
  <c r="G28" i="4"/>
  <c r="G29" i="4"/>
  <c r="G35" i="4"/>
  <c r="G36" i="4"/>
  <c r="G37" i="4"/>
  <c r="G43" i="4"/>
  <c r="G44" i="4"/>
  <c r="G45" i="4"/>
  <c r="G51" i="4"/>
  <c r="G52" i="4"/>
  <c r="G53" i="4"/>
  <c r="G59" i="4"/>
  <c r="G60" i="4"/>
  <c r="G61" i="4"/>
  <c r="G27" i="4"/>
  <c r="G15" i="4"/>
  <c r="G11" i="4"/>
  <c r="G7" i="4"/>
  <c r="G3" i="4"/>
  <c r="G58" i="4"/>
  <c r="G25" i="4"/>
  <c r="G8" i="4"/>
  <c r="G2" i="4"/>
  <c r="E11" i="2"/>
  <c r="I11" i="2"/>
  <c r="M11" i="2"/>
  <c r="Q11" i="2"/>
  <c r="U11" i="2"/>
  <c r="Y11" i="2"/>
  <c r="B11" i="2"/>
  <c r="J11" i="2"/>
  <c r="R11" i="2"/>
  <c r="Z11" i="2"/>
  <c r="C11" i="2"/>
  <c r="K11" i="2"/>
  <c r="S11" i="2"/>
  <c r="AA11" i="2"/>
  <c r="H11" i="2"/>
  <c r="P11" i="2"/>
  <c r="X11" i="2"/>
  <c r="F11" i="2"/>
  <c r="N11" i="2"/>
  <c r="V11" i="2"/>
  <c r="G11" i="2"/>
  <c r="O11" i="2"/>
  <c r="W11" i="2"/>
  <c r="D11" i="2"/>
  <c r="L11" i="2"/>
  <c r="T11" i="2"/>
  <c r="AB11" i="2"/>
  <c r="AA8" i="2"/>
  <c r="Z8" i="2"/>
  <c r="W8" i="2"/>
  <c r="Y8" i="2"/>
  <c r="V8" i="2"/>
  <c r="I2" i="4" l="1"/>
  <c r="I8" i="4"/>
  <c r="I25" i="4"/>
  <c r="I58" i="4"/>
  <c r="I3" i="4"/>
  <c r="I7" i="4"/>
  <c r="I11" i="4"/>
  <c r="I15" i="4"/>
  <c r="I27" i="4"/>
  <c r="I61" i="4"/>
  <c r="I60" i="4"/>
  <c r="I59" i="4"/>
  <c r="I53" i="4"/>
  <c r="I52" i="4"/>
  <c r="I51" i="4"/>
  <c r="I45" i="4"/>
  <c r="I44" i="4"/>
  <c r="I43" i="4"/>
  <c r="I37" i="4"/>
  <c r="I36" i="4"/>
  <c r="I35" i="4"/>
  <c r="I29" i="4"/>
  <c r="I28" i="4"/>
  <c r="I12" i="4"/>
  <c r="I16" i="4"/>
  <c r="I26" i="4"/>
  <c r="I50" i="4"/>
  <c r="I6" i="4"/>
  <c r="I10" i="4"/>
  <c r="I14" i="4"/>
  <c r="I20" i="4"/>
  <c r="I22" i="4"/>
  <c r="I21" i="4"/>
  <c r="I54" i="4"/>
  <c r="I46" i="4"/>
  <c r="I38" i="4"/>
  <c r="I30" i="4"/>
  <c r="I4" i="4"/>
  <c r="I24" i="4"/>
  <c r="I42" i="4"/>
  <c r="I34" i="4"/>
  <c r="I5" i="4"/>
  <c r="I9" i="4"/>
  <c r="I13" i="4"/>
  <c r="I17" i="4"/>
  <c r="I18" i="4"/>
  <c r="I19" i="4"/>
  <c r="I23" i="4"/>
  <c r="I57" i="4"/>
  <c r="I56" i="4"/>
  <c r="I55" i="4"/>
  <c r="I49" i="4"/>
  <c r="I48" i="4"/>
  <c r="I47" i="4"/>
  <c r="I41" i="4"/>
  <c r="I40" i="4"/>
  <c r="I39" i="4"/>
  <c r="I33" i="4"/>
  <c r="I32" i="4"/>
  <c r="I31" i="4"/>
</calcChain>
</file>

<file path=xl/sharedStrings.xml><?xml version="1.0" encoding="utf-8"?>
<sst xmlns="http://schemas.openxmlformats.org/spreadsheetml/2006/main" count="54" uniqueCount="41">
  <si>
    <t>heure de fin</t>
  </si>
  <si>
    <t>date de fin</t>
  </si>
  <si>
    <t>Lundi de Pâques</t>
  </si>
  <si>
    <t>Fête nationale</t>
  </si>
  <si>
    <t>Assomption</t>
  </si>
  <si>
    <t>Armistice</t>
  </si>
  <si>
    <t>Noël</t>
  </si>
  <si>
    <t>Jours fériés</t>
  </si>
  <si>
    <t>Premier de l'AN</t>
  </si>
  <si>
    <t>Pâques</t>
  </si>
  <si>
    <t>Fête du travail</t>
  </si>
  <si>
    <t>Victoire de 1945</t>
  </si>
  <si>
    <t>Ascension</t>
  </si>
  <si>
    <t>Pentecôte</t>
  </si>
  <si>
    <t>Toussaint</t>
  </si>
  <si>
    <t>Plage d'ouverture</t>
  </si>
  <si>
    <t>Début</t>
  </si>
  <si>
    <t>Pause Mat</t>
  </si>
  <si>
    <t>Reprise Mat</t>
  </si>
  <si>
    <t>Midi</t>
  </si>
  <si>
    <t>Début après midi</t>
  </si>
  <si>
    <t>Pause AM</t>
  </si>
  <si>
    <t>Reprise AM</t>
  </si>
  <si>
    <t>Fin journée</t>
  </si>
  <si>
    <t>Temps ouverture total</t>
  </si>
  <si>
    <t>heure fin réelle</t>
  </si>
  <si>
    <t>nb heures depuis matin</t>
  </si>
  <si>
    <t>Tolérance calcul</t>
  </si>
  <si>
    <t>reliquat d'heures</t>
  </si>
  <si>
    <t>hures réelles</t>
  </si>
  <si>
    <t>temps de pause cumulé</t>
  </si>
  <si>
    <t>heures comprimées amont</t>
  </si>
  <si>
    <t>heure début</t>
  </si>
  <si>
    <t>date début</t>
  </si>
  <si>
    <t>durée</t>
  </si>
  <si>
    <t>nb de ressources</t>
  </si>
  <si>
    <t>nb de jours entiers</t>
  </si>
  <si>
    <t>plus nb heures</t>
  </si>
  <si>
    <t>reliquat d'heures sur la première journée</t>
  </si>
  <si>
    <t>heures depuis matin</t>
  </si>
  <si>
    <t>heures théoriques effectuées avant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</si>
</sst>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[$-F400]h:mm:ss\ AM/PM"/>
    <numFmt numFmtId="166" formatCode="[h]:mm"/>
    <numFmt numFmtId="167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vertical="center"/>
    </xf>
    <xf numFmtId="0" fontId="4" fillId="0" borderId="0" xfId="0" applyFont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right" indent="1"/>
    </xf>
    <xf numFmtId="164" fontId="4" fillId="0" borderId="1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20" fontId="0" fillId="3" borderId="5" xfId="0" applyNumberFormat="1" applyFill="1" applyBorder="1" applyAlignment="1">
      <alignment horizontal="center" vertical="center"/>
    </xf>
    <xf numFmtId="20" fontId="0" fillId="3" borderId="6" xfId="0" applyNumberFormat="1" applyFill="1" applyBorder="1" applyAlignment="1">
      <alignment horizontal="center" vertical="center"/>
    </xf>
    <xf numFmtId="20" fontId="0" fillId="3" borderId="7" xfId="0" applyNumberFormat="1" applyFill="1" applyBorder="1" applyAlignment="1">
      <alignment horizontal="center" vertical="center"/>
    </xf>
    <xf numFmtId="20" fontId="5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center"/>
    </xf>
    <xf numFmtId="2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20" fontId="0" fillId="0" borderId="8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7" fontId="1" fillId="2" borderId="0" xfId="0" applyNumberFormat="1" applyFont="1" applyFill="1" applyBorder="1" applyAlignment="1">
      <alignment horizontal="center" vertical="center" wrapText="1"/>
    </xf>
    <xf numFmtId="167" fontId="0" fillId="0" borderId="0" xfId="0" applyNumberFormat="1" applyFill="1" applyBorder="1" applyAlignment="1">
      <alignment horizontal="center" vertical="center"/>
    </xf>
    <xf numFmtId="167" fontId="0" fillId="0" borderId="0" xfId="0" applyNumberFormat="1"/>
    <xf numFmtId="20" fontId="6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zoomScale="90" zoomScaleNormal="90" workbookViewId="0"/>
  </sheetViews>
  <sheetFormatPr baseColWidth="10" defaultColWidth="7.90625" defaultRowHeight="14" customHeight="1" x14ac:dyDescent="0.35"/>
  <cols>
    <col min="1" max="1" width="23.7265625" bestFit="1" customWidth="1"/>
    <col min="11" max="12" width="10.6328125" customWidth="1"/>
  </cols>
  <sheetData>
    <row r="1" spans="1:28" ht="14" customHeight="1" thickBot="1" x14ac:dyDescent="0.4">
      <c r="B1" t="s">
        <v>15</v>
      </c>
    </row>
    <row r="2" spans="1:28" s="9" customFormat="1" ht="14" customHeight="1" thickBot="1" x14ac:dyDescent="0.4">
      <c r="B2" s="25" t="s">
        <v>16</v>
      </c>
      <c r="C2" s="26" t="s">
        <v>17</v>
      </c>
      <c r="D2" s="26" t="s">
        <v>18</v>
      </c>
      <c r="E2" s="26" t="s">
        <v>19</v>
      </c>
      <c r="F2" s="26" t="s">
        <v>20</v>
      </c>
      <c r="G2" s="26" t="s">
        <v>21</v>
      </c>
      <c r="H2" s="26" t="s">
        <v>22</v>
      </c>
      <c r="I2" s="27" t="s">
        <v>23</v>
      </c>
      <c r="K2" s="7" t="s">
        <v>24</v>
      </c>
      <c r="L2" s="7" t="s">
        <v>27</v>
      </c>
    </row>
    <row r="3" spans="1:28" ht="14" customHeight="1" x14ac:dyDescent="0.35">
      <c r="A3" t="s">
        <v>29</v>
      </c>
      <c r="B3" s="10">
        <v>0.33333333333333331</v>
      </c>
      <c r="C3" s="11">
        <v>0.40625</v>
      </c>
      <c r="D3" s="11">
        <v>0.4375</v>
      </c>
      <c r="E3" s="12">
        <v>0.5</v>
      </c>
      <c r="F3" s="10">
        <v>0.54166666666666663</v>
      </c>
      <c r="G3" s="11">
        <v>0.61458333333333337</v>
      </c>
      <c r="H3" s="11">
        <v>0.64583333333333337</v>
      </c>
      <c r="I3" s="12">
        <v>0.70833333333333337</v>
      </c>
      <c r="K3" s="8">
        <f>I3-H3+G3-F3+E3-D3+C3-B3</f>
        <v>0.27083333333333343</v>
      </c>
      <c r="L3" s="14">
        <v>1.1574074074074073E-5</v>
      </c>
    </row>
    <row r="4" spans="1:28" ht="14" customHeight="1" x14ac:dyDescent="0.35">
      <c r="A4" t="s">
        <v>31</v>
      </c>
      <c r="B4" s="19">
        <f>B3</f>
        <v>0.33333333333333331</v>
      </c>
      <c r="C4" s="20">
        <f t="shared" ref="C4:I4" si="0">C3-B5</f>
        <v>0.40625</v>
      </c>
      <c r="D4" s="20">
        <f t="shared" si="0"/>
        <v>0.40625</v>
      </c>
      <c r="E4" s="21">
        <f t="shared" si="0"/>
        <v>0.46875</v>
      </c>
      <c r="F4" s="19">
        <f t="shared" si="0"/>
        <v>0.46875</v>
      </c>
      <c r="G4" s="20">
        <f t="shared" si="0"/>
        <v>0.54166666666666674</v>
      </c>
      <c r="H4" s="20">
        <f t="shared" si="0"/>
        <v>0.54166666666666674</v>
      </c>
      <c r="I4" s="21">
        <f t="shared" si="0"/>
        <v>0.60416666666666674</v>
      </c>
    </row>
    <row r="5" spans="1:28" ht="14" customHeight="1" thickBot="1" x14ac:dyDescent="0.4">
      <c r="A5" t="s">
        <v>30</v>
      </c>
      <c r="B5" s="22">
        <v>0</v>
      </c>
      <c r="C5" s="23">
        <f>D3-C3</f>
        <v>3.125E-2</v>
      </c>
      <c r="D5" s="23">
        <f>C5</f>
        <v>3.125E-2</v>
      </c>
      <c r="E5" s="24">
        <f>D5+F3-E3</f>
        <v>7.291666666666663E-2</v>
      </c>
      <c r="F5" s="22">
        <f>E5</f>
        <v>7.291666666666663E-2</v>
      </c>
      <c r="G5" s="23">
        <f>F5+H3-G3</f>
        <v>0.10416666666666663</v>
      </c>
      <c r="H5" s="23">
        <f>G5</f>
        <v>0.10416666666666663</v>
      </c>
      <c r="I5" s="24">
        <f t="shared" ref="I5" si="1">H5</f>
        <v>0.10416666666666663</v>
      </c>
    </row>
    <row r="7" spans="1:28" ht="14" hidden="1" customHeight="1" x14ac:dyDescent="0.35">
      <c r="A7" t="s">
        <v>26</v>
      </c>
      <c r="B7" s="8">
        <v>1.0416666666666666E-2</v>
      </c>
      <c r="C7" s="8">
        <v>2.0833333333333332E-2</v>
      </c>
      <c r="D7" s="8">
        <v>3.125E-2</v>
      </c>
      <c r="E7" s="8">
        <v>4.1666666666666699E-2</v>
      </c>
      <c r="F7" s="8">
        <v>5.2083333333333398E-2</v>
      </c>
      <c r="G7" s="8">
        <v>6.25E-2</v>
      </c>
      <c r="H7" s="8">
        <v>7.2916666666666699E-2</v>
      </c>
      <c r="I7" s="8">
        <v>8.3333333333333398E-2</v>
      </c>
      <c r="J7" s="8">
        <v>9.375E-2</v>
      </c>
      <c r="K7" s="8">
        <v>0.104166666666667</v>
      </c>
      <c r="L7" s="8">
        <v>0.11458333333333399</v>
      </c>
      <c r="M7" s="8">
        <v>0.125</v>
      </c>
      <c r="N7" s="8">
        <v>0.13541666666666699</v>
      </c>
      <c r="O7" s="8">
        <v>0.14583333333333401</v>
      </c>
      <c r="P7" s="8">
        <v>0.15625</v>
      </c>
      <c r="Q7" s="8">
        <v>0.16666666666666699</v>
      </c>
      <c r="R7" s="8">
        <v>0.17708333333333401</v>
      </c>
      <c r="S7" s="8">
        <v>0.1875</v>
      </c>
      <c r="T7" s="8">
        <v>0.19791666666666699</v>
      </c>
      <c r="U7" s="8">
        <v>0.20833333333333401</v>
      </c>
      <c r="V7" s="8">
        <v>0.21875</v>
      </c>
      <c r="W7" s="8">
        <v>0.22916666666666699</v>
      </c>
      <c r="X7" s="8">
        <v>0.23958333333333401</v>
      </c>
      <c r="Y7" s="8">
        <v>0.25</v>
      </c>
      <c r="Z7" s="8">
        <v>0.26041666666666802</v>
      </c>
      <c r="AA7" s="8">
        <v>0.27083333333333498</v>
      </c>
    </row>
    <row r="8" spans="1:28" ht="14" hidden="1" customHeight="1" x14ac:dyDescent="0.35">
      <c r="A8" t="s">
        <v>25</v>
      </c>
      <c r="B8" s="13">
        <f>HLOOKUP(B7+$B$3-$L$3,$B$4:$I$5,2,1)+B7+$B$3</f>
        <v>0.34375</v>
      </c>
      <c r="C8" s="8">
        <f t="shared" ref="C8:AA8" si="2">HLOOKUP(C7+$B$3-$L$3,$B$4:$I$5,2,1)+C7+$B$3</f>
        <v>0.35416666666666663</v>
      </c>
      <c r="D8" s="8">
        <f t="shared" si="2"/>
        <v>0.36458333333333331</v>
      </c>
      <c r="E8" s="8">
        <f t="shared" si="2"/>
        <v>0.375</v>
      </c>
      <c r="F8" s="8">
        <f t="shared" si="2"/>
        <v>0.38541666666666674</v>
      </c>
      <c r="G8" s="8">
        <f t="shared" si="2"/>
        <v>0.39583333333333331</v>
      </c>
      <c r="H8" s="8">
        <f t="shared" si="2"/>
        <v>0.40625</v>
      </c>
      <c r="I8" s="8">
        <f t="shared" si="2"/>
        <v>0.44791666666666674</v>
      </c>
      <c r="J8" s="8">
        <f t="shared" si="2"/>
        <v>0.45833333333333331</v>
      </c>
      <c r="K8" s="8">
        <f t="shared" si="2"/>
        <v>0.46875000000000033</v>
      </c>
      <c r="L8" s="8">
        <f t="shared" si="2"/>
        <v>0.4791666666666673</v>
      </c>
      <c r="M8" s="8">
        <f t="shared" si="2"/>
        <v>0.48958333333333331</v>
      </c>
      <c r="N8" s="8">
        <f t="shared" si="2"/>
        <v>0.50000000000000033</v>
      </c>
      <c r="O8" s="8">
        <f t="shared" si="2"/>
        <v>0.55208333333333393</v>
      </c>
      <c r="P8" s="8">
        <f t="shared" si="2"/>
        <v>0.5625</v>
      </c>
      <c r="Q8" s="8">
        <f t="shared" si="2"/>
        <v>0.57291666666666696</v>
      </c>
      <c r="R8" s="8">
        <f t="shared" si="2"/>
        <v>0.58333333333333393</v>
      </c>
      <c r="S8" s="8">
        <f t="shared" si="2"/>
        <v>0.59375</v>
      </c>
      <c r="T8" s="8">
        <f t="shared" si="2"/>
        <v>0.60416666666666696</v>
      </c>
      <c r="U8" s="8">
        <f t="shared" si="2"/>
        <v>0.61458333333333393</v>
      </c>
      <c r="V8" s="8">
        <f t="shared" si="2"/>
        <v>0.65625</v>
      </c>
      <c r="W8" s="8">
        <f t="shared" si="2"/>
        <v>0.66666666666666696</v>
      </c>
      <c r="X8" s="8">
        <f t="shared" si="2"/>
        <v>0.67708333333333393</v>
      </c>
      <c r="Y8" s="8">
        <f t="shared" si="2"/>
        <v>0.6875</v>
      </c>
      <c r="Z8" s="8">
        <f t="shared" si="2"/>
        <v>0.69791666666666796</v>
      </c>
      <c r="AA8" s="8">
        <f t="shared" si="2"/>
        <v>0.70833333333333492</v>
      </c>
    </row>
    <row r="9" spans="1:28" ht="14" hidden="1" customHeight="1" x14ac:dyDescent="0.35"/>
    <row r="10" spans="1:28" ht="14" hidden="1" customHeight="1" x14ac:dyDescent="0.35">
      <c r="A10" t="s">
        <v>0</v>
      </c>
      <c r="B10" s="8">
        <v>0.33333333333333298</v>
      </c>
      <c r="C10" s="8">
        <v>0.34375</v>
      </c>
      <c r="D10" s="8">
        <v>0.35416666666666663</v>
      </c>
      <c r="E10" s="8">
        <v>0.36458333333333331</v>
      </c>
      <c r="F10" s="8">
        <v>0.375</v>
      </c>
      <c r="G10" s="8">
        <v>0.38541666666666674</v>
      </c>
      <c r="H10" s="8">
        <v>0.39583333333333331</v>
      </c>
      <c r="I10" s="8">
        <v>0.40625</v>
      </c>
      <c r="J10" s="8">
        <v>0.44791666666666674</v>
      </c>
      <c r="K10" s="8">
        <v>0.45833333333333331</v>
      </c>
      <c r="L10" s="8">
        <v>0.46875000000000033</v>
      </c>
      <c r="M10" s="8">
        <v>0.4791666666666673</v>
      </c>
      <c r="N10" s="8">
        <v>0.48958333333333331</v>
      </c>
      <c r="O10" s="8">
        <v>0.50000000000000033</v>
      </c>
      <c r="P10" s="8">
        <v>0.55208333333333393</v>
      </c>
      <c r="Q10" s="8">
        <v>0.5625</v>
      </c>
      <c r="R10" s="8">
        <v>0.57291666666666696</v>
      </c>
      <c r="S10" s="8">
        <v>0.58333333333333393</v>
      </c>
      <c r="T10" s="8">
        <v>0.59375</v>
      </c>
      <c r="U10" s="8">
        <v>0.60416666666666696</v>
      </c>
      <c r="V10" s="8">
        <v>0.61458333333333393</v>
      </c>
      <c r="W10" s="8">
        <v>0.65625</v>
      </c>
      <c r="X10" s="8">
        <v>0.66666666666666696</v>
      </c>
      <c r="Y10" s="8">
        <v>0.67708333333333393</v>
      </c>
      <c r="Z10" s="8">
        <v>0.6875</v>
      </c>
      <c r="AA10" s="8">
        <v>0.69791666666666796</v>
      </c>
      <c r="AB10" s="8">
        <v>0.70833333333333492</v>
      </c>
    </row>
    <row r="11" spans="1:28" ht="14" hidden="1" customHeight="1" x14ac:dyDescent="0.35">
      <c r="A11" t="s">
        <v>28</v>
      </c>
      <c r="B11" s="13">
        <f>MAX(0,$I$3-B10-($I$5-HLOOKUP(B10+$L$3,$B$3:$I$5,3,1)))</f>
        <v>0.27083333333333376</v>
      </c>
      <c r="C11" s="8">
        <f t="shared" ref="C11:AB11" si="3">MAX(0,$I$3-C10-($I$5-HLOOKUP(C10+$L$3,$B$3:$I$5,3,1)))</f>
        <v>0.26041666666666674</v>
      </c>
      <c r="D11" s="8">
        <f t="shared" si="3"/>
        <v>0.25000000000000011</v>
      </c>
      <c r="E11" s="8">
        <f t="shared" si="3"/>
        <v>0.23958333333333343</v>
      </c>
      <c r="F11" s="8">
        <f t="shared" si="3"/>
        <v>0.22916666666666674</v>
      </c>
      <c r="G11" s="8">
        <f t="shared" si="3"/>
        <v>0.21875</v>
      </c>
      <c r="H11" s="8">
        <f t="shared" si="3"/>
        <v>0.20833333333333343</v>
      </c>
      <c r="I11" s="8">
        <f t="shared" si="3"/>
        <v>0.22916666666666674</v>
      </c>
      <c r="J11" s="8">
        <f t="shared" si="3"/>
        <v>0.1875</v>
      </c>
      <c r="K11" s="8">
        <f t="shared" si="3"/>
        <v>0.17708333333333343</v>
      </c>
      <c r="L11" s="8">
        <f t="shared" si="3"/>
        <v>0.16666666666666641</v>
      </c>
      <c r="M11" s="8">
        <f t="shared" si="3"/>
        <v>0.15624999999999944</v>
      </c>
      <c r="N11" s="8">
        <f t="shared" si="3"/>
        <v>0.14583333333333343</v>
      </c>
      <c r="O11" s="8">
        <f t="shared" si="3"/>
        <v>0.17708333333333304</v>
      </c>
      <c r="P11" s="8">
        <f t="shared" si="3"/>
        <v>0.12499999999999944</v>
      </c>
      <c r="Q11" s="8">
        <f t="shared" si="3"/>
        <v>0.11458333333333337</v>
      </c>
      <c r="R11" s="8">
        <f t="shared" si="3"/>
        <v>0.10416666666666641</v>
      </c>
      <c r="S11" s="8">
        <f t="shared" si="3"/>
        <v>9.3749999999999445E-2</v>
      </c>
      <c r="T11" s="8">
        <f t="shared" si="3"/>
        <v>8.333333333333337E-2</v>
      </c>
      <c r="U11" s="8">
        <f t="shared" si="3"/>
        <v>7.2916666666666408E-2</v>
      </c>
      <c r="V11" s="8">
        <f t="shared" si="3"/>
        <v>9.3749999999999445E-2</v>
      </c>
      <c r="W11" s="8">
        <f t="shared" si="3"/>
        <v>5.208333333333337E-2</v>
      </c>
      <c r="X11" s="8">
        <f t="shared" si="3"/>
        <v>4.1666666666666408E-2</v>
      </c>
      <c r="Y11" s="8">
        <f t="shared" si="3"/>
        <v>3.1249999999999445E-2</v>
      </c>
      <c r="Z11" s="8">
        <f t="shared" si="3"/>
        <v>2.083333333333337E-2</v>
      </c>
      <c r="AA11" s="8">
        <f t="shared" si="3"/>
        <v>1.0416666666665408E-2</v>
      </c>
      <c r="AB11" s="8">
        <f t="shared" si="3"/>
        <v>0</v>
      </c>
    </row>
    <row r="12" spans="1:28" ht="14" hidden="1" customHeight="1" x14ac:dyDescent="0.35">
      <c r="A12" t="s">
        <v>39</v>
      </c>
      <c r="B12" s="13">
        <f>$K$3-MAX(0,$I$3-B10-($I$5-HLOOKUP(B10+$L$3,$B$3:$I$5,3,1)))</f>
        <v>0</v>
      </c>
      <c r="C12" s="8">
        <f t="shared" ref="C12:AB12" si="4">$K$3-MAX(0,$I$3-C10-($I$5-HLOOKUP(C10+$L$3,$B$3:$I$5,3,1)))</f>
        <v>1.0416666666666685E-2</v>
      </c>
      <c r="D12" s="8">
        <f t="shared" si="4"/>
        <v>2.0833333333333315E-2</v>
      </c>
      <c r="E12" s="8">
        <f t="shared" si="4"/>
        <v>3.125E-2</v>
      </c>
      <c r="F12" s="8">
        <f t="shared" si="4"/>
        <v>4.1666666666666685E-2</v>
      </c>
      <c r="G12" s="8">
        <f t="shared" si="4"/>
        <v>5.2083333333333426E-2</v>
      </c>
      <c r="H12" s="8">
        <f t="shared" si="4"/>
        <v>6.25E-2</v>
      </c>
      <c r="I12" s="8">
        <f t="shared" si="4"/>
        <v>4.1666666666666685E-2</v>
      </c>
      <c r="J12" s="8">
        <f t="shared" si="4"/>
        <v>8.3333333333333426E-2</v>
      </c>
      <c r="K12" s="8">
        <f t="shared" si="4"/>
        <v>9.375E-2</v>
      </c>
      <c r="L12" s="8">
        <f t="shared" si="4"/>
        <v>0.10416666666666702</v>
      </c>
      <c r="M12" s="8">
        <f t="shared" si="4"/>
        <v>0.11458333333333398</v>
      </c>
      <c r="N12" s="8">
        <f t="shared" si="4"/>
        <v>0.125</v>
      </c>
      <c r="O12" s="8">
        <f t="shared" si="4"/>
        <v>9.3750000000000389E-2</v>
      </c>
      <c r="P12" s="8">
        <f t="shared" si="4"/>
        <v>0.14583333333333398</v>
      </c>
      <c r="Q12" s="8">
        <f t="shared" si="4"/>
        <v>0.15625000000000006</v>
      </c>
      <c r="R12" s="8">
        <f t="shared" si="4"/>
        <v>0.16666666666666702</v>
      </c>
      <c r="S12" s="8">
        <f t="shared" si="4"/>
        <v>0.17708333333333398</v>
      </c>
      <c r="T12" s="8">
        <f t="shared" si="4"/>
        <v>0.18750000000000006</v>
      </c>
      <c r="U12" s="8">
        <f t="shared" si="4"/>
        <v>0.19791666666666702</v>
      </c>
      <c r="V12" s="8">
        <f t="shared" si="4"/>
        <v>0.17708333333333398</v>
      </c>
      <c r="W12" s="8">
        <f t="shared" si="4"/>
        <v>0.21875000000000006</v>
      </c>
      <c r="X12" s="8">
        <f t="shared" si="4"/>
        <v>0.22916666666666702</v>
      </c>
      <c r="Y12" s="8">
        <f t="shared" si="4"/>
        <v>0.23958333333333398</v>
      </c>
      <c r="Z12" s="8">
        <f t="shared" si="4"/>
        <v>0.25000000000000006</v>
      </c>
      <c r="AA12" s="8">
        <f t="shared" si="4"/>
        <v>0.26041666666666802</v>
      </c>
      <c r="AB12" s="8">
        <f t="shared" si="4"/>
        <v>0.27083333333333343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A14" sqref="A14"/>
    </sheetView>
  </sheetViews>
  <sheetFormatPr baseColWidth="10" defaultRowHeight="14.5" x14ac:dyDescent="0.35"/>
  <cols>
    <col min="1" max="1" width="10.90625" customWidth="1"/>
    <col min="2" max="3" width="22.26953125" customWidth="1"/>
  </cols>
  <sheetData>
    <row r="1" spans="1:3" x14ac:dyDescent="0.35">
      <c r="A1" s="2"/>
      <c r="B1" s="1" t="s">
        <v>7</v>
      </c>
      <c r="C1" s="1"/>
    </row>
    <row r="2" spans="1:3" x14ac:dyDescent="0.35">
      <c r="A2" s="4">
        <v>2020</v>
      </c>
      <c r="B2" s="5" t="s">
        <v>8</v>
      </c>
      <c r="C2" s="6">
        <f>DATE(A2,1,1)</f>
        <v>43831</v>
      </c>
    </row>
    <row r="3" spans="1:3" x14ac:dyDescent="0.35">
      <c r="A3" s="3"/>
      <c r="B3" s="5" t="s">
        <v>9</v>
      </c>
      <c r="C3" s="6">
        <f>ROUND(DATE(A2,4,MOD(234-11*MOD(A2,19),30))/7,0)*7-6</f>
        <v>43933</v>
      </c>
    </row>
    <row r="4" spans="1:3" x14ac:dyDescent="0.35">
      <c r="A4" s="3"/>
      <c r="B4" s="5" t="s">
        <v>2</v>
      </c>
      <c r="C4" s="6">
        <f>C3+1</f>
        <v>43934</v>
      </c>
    </row>
    <row r="5" spans="1:3" x14ac:dyDescent="0.35">
      <c r="A5" s="3"/>
      <c r="B5" s="5" t="s">
        <v>10</v>
      </c>
      <c r="C5" s="6">
        <f>DATE(A2,5,1)</f>
        <v>43952</v>
      </c>
    </row>
    <row r="6" spans="1:3" x14ac:dyDescent="0.35">
      <c r="A6" s="3"/>
      <c r="B6" s="5" t="s">
        <v>11</v>
      </c>
      <c r="C6" s="6">
        <f>DATE(A2,5,8)</f>
        <v>43959</v>
      </c>
    </row>
    <row r="7" spans="1:3" x14ac:dyDescent="0.35">
      <c r="A7" s="3"/>
      <c r="B7" s="5" t="s">
        <v>12</v>
      </c>
      <c r="C7" s="6">
        <f>C3+39</f>
        <v>43972</v>
      </c>
    </row>
    <row r="8" spans="1:3" x14ac:dyDescent="0.35">
      <c r="A8" s="3"/>
      <c r="B8" s="5" t="s">
        <v>13</v>
      </c>
      <c r="C8" s="6">
        <f>C3+50</f>
        <v>43983</v>
      </c>
    </row>
    <row r="9" spans="1:3" x14ac:dyDescent="0.35">
      <c r="A9" s="3"/>
      <c r="B9" s="5" t="s">
        <v>3</v>
      </c>
      <c r="C9" s="6">
        <f>DATE(A2,7,14)</f>
        <v>44026</v>
      </c>
    </row>
    <row r="10" spans="1:3" x14ac:dyDescent="0.35">
      <c r="A10" s="3"/>
      <c r="B10" s="5" t="s">
        <v>4</v>
      </c>
      <c r="C10" s="6">
        <f>DATE(A2,8,15)</f>
        <v>44058</v>
      </c>
    </row>
    <row r="11" spans="1:3" x14ac:dyDescent="0.35">
      <c r="A11" s="3"/>
      <c r="B11" s="5" t="s">
        <v>14</v>
      </c>
      <c r="C11" s="6">
        <f>DATE(A2,11,1)</f>
        <v>44136</v>
      </c>
    </row>
    <row r="12" spans="1:3" x14ac:dyDescent="0.35">
      <c r="A12" s="3"/>
      <c r="B12" s="5" t="s">
        <v>5</v>
      </c>
      <c r="C12" s="6">
        <f>DATE(A2,11,11)</f>
        <v>44146</v>
      </c>
    </row>
    <row r="13" spans="1:3" x14ac:dyDescent="0.35">
      <c r="A13" s="3"/>
      <c r="B13" s="5" t="s">
        <v>6</v>
      </c>
      <c r="C13" s="6">
        <f>DATE(A2,12,25)</f>
        <v>44190</v>
      </c>
    </row>
    <row r="14" spans="1:3" x14ac:dyDescent="0.35">
      <c r="A14" s="15">
        <f>A2+1</f>
        <v>2021</v>
      </c>
      <c r="B14" s="5" t="s">
        <v>8</v>
      </c>
      <c r="C14" s="6">
        <f>DATE(A14,1,1)</f>
        <v>44197</v>
      </c>
    </row>
    <row r="15" spans="1:3" x14ac:dyDescent="0.35">
      <c r="A15" s="3"/>
      <c r="B15" s="5" t="s">
        <v>9</v>
      </c>
      <c r="C15" s="6">
        <f>ROUND(DATE(A14,4,MOD(234-11*MOD(A14,19),30))/7,0)*7-6</f>
        <v>44290</v>
      </c>
    </row>
    <row r="16" spans="1:3" x14ac:dyDescent="0.35">
      <c r="A16" s="3"/>
      <c r="B16" s="5" t="s">
        <v>2</v>
      </c>
      <c r="C16" s="6">
        <f>C15+1</f>
        <v>44291</v>
      </c>
    </row>
    <row r="17" spans="1:3" x14ac:dyDescent="0.35">
      <c r="A17" s="3"/>
      <c r="B17" s="5" t="s">
        <v>10</v>
      </c>
      <c r="C17" s="6">
        <f>DATE(A14,5,1)</f>
        <v>44317</v>
      </c>
    </row>
    <row r="18" spans="1:3" x14ac:dyDescent="0.35">
      <c r="A18" s="3"/>
      <c r="B18" s="5" t="s">
        <v>11</v>
      </c>
      <c r="C18" s="6">
        <f>DATE(A14,5,8)</f>
        <v>44324</v>
      </c>
    </row>
    <row r="19" spans="1:3" x14ac:dyDescent="0.35">
      <c r="A19" s="3"/>
      <c r="B19" s="5" t="s">
        <v>12</v>
      </c>
      <c r="C19" s="6">
        <f>C15+39</f>
        <v>44329</v>
      </c>
    </row>
    <row r="20" spans="1:3" x14ac:dyDescent="0.35">
      <c r="A20" s="3"/>
      <c r="B20" s="5" t="s">
        <v>13</v>
      </c>
      <c r="C20" s="6">
        <f>C15+50</f>
        <v>44340</v>
      </c>
    </row>
    <row r="21" spans="1:3" x14ac:dyDescent="0.35">
      <c r="A21" s="3"/>
      <c r="B21" s="5" t="s">
        <v>3</v>
      </c>
      <c r="C21" s="6">
        <f>DATE(A14,7,14)</f>
        <v>44391</v>
      </c>
    </row>
    <row r="22" spans="1:3" x14ac:dyDescent="0.35">
      <c r="A22" s="3"/>
      <c r="B22" s="5" t="s">
        <v>4</v>
      </c>
      <c r="C22" s="6">
        <f>DATE(A14,8,15)</f>
        <v>44423</v>
      </c>
    </row>
    <row r="23" spans="1:3" x14ac:dyDescent="0.35">
      <c r="A23" s="3"/>
      <c r="B23" s="5" t="s">
        <v>14</v>
      </c>
      <c r="C23" s="6">
        <f>DATE(A14,11,1)</f>
        <v>44501</v>
      </c>
    </row>
    <row r="24" spans="1:3" x14ac:dyDescent="0.35">
      <c r="A24" s="3"/>
      <c r="B24" s="5" t="s">
        <v>5</v>
      </c>
      <c r="C24" s="6">
        <f>DATE(A14,11,11)</f>
        <v>44511</v>
      </c>
    </row>
    <row r="25" spans="1:3" x14ac:dyDescent="0.35">
      <c r="A25" s="3"/>
      <c r="B25" s="5" t="s">
        <v>6</v>
      </c>
      <c r="C25" s="6">
        <f>DATE(A14,12,25)</f>
        <v>44555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"/>
  <sheetViews>
    <sheetView tabSelected="1" workbookViewId="0">
      <selection activeCell="J2" sqref="J2"/>
    </sheetView>
  </sheetViews>
  <sheetFormatPr baseColWidth="10" defaultRowHeight="14.5" x14ac:dyDescent="0.35"/>
  <cols>
    <col min="1" max="1" width="19.26953125" style="31" bestFit="1" customWidth="1"/>
    <col min="7" max="8" width="17.81640625" customWidth="1"/>
    <col min="9" max="9" width="19.26953125" style="31" bestFit="1" customWidth="1"/>
  </cols>
  <sheetData>
    <row r="1" spans="1:10" s="9" customFormat="1" ht="43.5" x14ac:dyDescent="0.35">
      <c r="A1" s="29" t="s">
        <v>33</v>
      </c>
      <c r="B1" s="28" t="s">
        <v>32</v>
      </c>
      <c r="C1" s="28" t="s">
        <v>34</v>
      </c>
      <c r="D1" s="28" t="s">
        <v>35</v>
      </c>
      <c r="E1" s="28" t="s">
        <v>36</v>
      </c>
      <c r="F1" s="28" t="s">
        <v>37</v>
      </c>
      <c r="G1" s="28" t="s">
        <v>38</v>
      </c>
      <c r="H1" s="28" t="s">
        <v>40</v>
      </c>
      <c r="I1" s="29" t="s">
        <v>1</v>
      </c>
      <c r="J1" s="28" t="s">
        <v>0</v>
      </c>
    </row>
    <row r="2" spans="1:10" x14ac:dyDescent="0.35">
      <c r="A2" s="30">
        <v>43950</v>
      </c>
      <c r="B2" s="16">
        <v>0.45833333333333331</v>
      </c>
      <c r="C2" s="17">
        <v>8.3333333333333329E-2</v>
      </c>
      <c r="D2" s="18">
        <v>1</v>
      </c>
      <c r="E2" s="18">
        <f>INT(C2/D2/horaires!$K$3)</f>
        <v>0</v>
      </c>
      <c r="F2" s="16">
        <f>MOD(C2/D2/horaires!$K$3,1)*horaires!$K$3</f>
        <v>8.3333333333333315E-2</v>
      </c>
      <c r="G2" s="16">
        <f>MAX(0,horaires!$I$3-B2-(horaires!$I$5-HLOOKUP(B2+horaires!$L$3,horaires!$B$3:$I$5,3,1)))</f>
        <v>0.17708333333333343</v>
      </c>
      <c r="H2" s="32">
        <f>horaires!$K$3-MAX(0,horaires!$I$3-B2-(horaires!$I$5-HLOOKUP(B2+horaires!$L$3,horaires!$B$3:$I$5,3,1)))</f>
        <v>9.375E-2</v>
      </c>
      <c r="I2" s="30">
        <f>WORKDAY(A2,E2+IF(F2&gt;G2,1,0),JF!C:C)</f>
        <v>43950</v>
      </c>
      <c r="J2" s="32">
        <f>HLOOKUP(MOD(F2+H2,horaires!$K$3)+horaires!$B$3-horaires!$L$3,horaires!$B$4:$I$5,2,1)+MOD(F2+H2,horaires!$K$3)+horaires!$B$3</f>
        <v>0.58333333333333326</v>
      </c>
    </row>
    <row r="3" spans="1:10" x14ac:dyDescent="0.35">
      <c r="A3" s="30">
        <v>43950</v>
      </c>
      <c r="B3" s="16">
        <v>0.45833333333333331</v>
      </c>
      <c r="C3" s="17">
        <v>9.375E-2</v>
      </c>
      <c r="D3" s="18">
        <v>1</v>
      </c>
      <c r="E3" s="18">
        <f>INT(C3/D3/horaires!$K$3)</f>
        <v>0</v>
      </c>
      <c r="F3" s="16">
        <f>MOD(C3/D3/horaires!$K$3,1)*horaires!$K$3</f>
        <v>9.375E-2</v>
      </c>
      <c r="G3" s="16">
        <f>MAX(0,horaires!$I$3-B3-(horaires!$I$5-HLOOKUP(B3+horaires!$L$3,horaires!$B$3:$I$5,3,1)))</f>
        <v>0.17708333333333343</v>
      </c>
      <c r="H3" s="32">
        <f>horaires!$K$3-MAX(0,horaires!$I$3-B3-(horaires!$I$5-HLOOKUP(B3+horaires!$L$3,horaires!$B$3:$I$5,3,1)))</f>
        <v>9.375E-2</v>
      </c>
      <c r="I3" s="30">
        <f>WORKDAY(A3,E3+IF(F3&gt;G3,1,0),JF!C:C)</f>
        <v>43950</v>
      </c>
      <c r="J3" s="32">
        <f>HLOOKUP(MOD(F3+H3,horaires!$K$3)+horaires!$B$3-horaires!$L$3,horaires!$B$4:$I$5,2,1)+MOD(F3+H3,horaires!$K$3)+horaires!$B$3</f>
        <v>0.59375</v>
      </c>
    </row>
    <row r="4" spans="1:10" x14ac:dyDescent="0.35">
      <c r="A4" s="30">
        <v>43950</v>
      </c>
      <c r="B4" s="16">
        <v>0.45833333333333331</v>
      </c>
      <c r="C4" s="17">
        <v>0.10416666666666667</v>
      </c>
      <c r="D4" s="18">
        <v>1</v>
      </c>
      <c r="E4" s="18">
        <f>INT(C4/D4/horaires!$K$3)</f>
        <v>0</v>
      </c>
      <c r="F4" s="16">
        <f>MOD(C4/D4/horaires!$K$3,1)*horaires!$K$3</f>
        <v>0.10416666666666667</v>
      </c>
      <c r="G4" s="16">
        <f>MAX(0,horaires!$I$3-B4-(horaires!$I$5-HLOOKUP(B4+horaires!$L$3,horaires!$B$3:$I$5,3,1)))</f>
        <v>0.17708333333333343</v>
      </c>
      <c r="H4" s="32">
        <f>horaires!$K$3-MAX(0,horaires!$I$3-B4-(horaires!$I$5-HLOOKUP(B4+horaires!$L$3,horaires!$B$3:$I$5,3,1)))</f>
        <v>9.375E-2</v>
      </c>
      <c r="I4" s="30">
        <f>WORKDAY(A4,E4+IF(F4&gt;G4,1,0),JF!C:C)</f>
        <v>43950</v>
      </c>
      <c r="J4" s="32">
        <f>HLOOKUP(MOD(F4+H4,horaires!$K$3)+horaires!$B$3-horaires!$L$3,horaires!$B$4:$I$5,2,1)+MOD(F4+H4,horaires!$K$3)+horaires!$B$3</f>
        <v>0.60416666666666663</v>
      </c>
    </row>
    <row r="5" spans="1:10" x14ac:dyDescent="0.35">
      <c r="A5" s="30">
        <v>43950</v>
      </c>
      <c r="B5" s="16">
        <v>0.45833333333333331</v>
      </c>
      <c r="C5" s="17">
        <v>0.114583333333333</v>
      </c>
      <c r="D5" s="18">
        <v>1</v>
      </c>
      <c r="E5" s="18">
        <f>INT(C5/D5/horaires!$K$3)</f>
        <v>0</v>
      </c>
      <c r="F5" s="16">
        <f>MOD(C5/D5/horaires!$K$3,1)*horaires!$K$3</f>
        <v>0.114583333333333</v>
      </c>
      <c r="G5" s="16">
        <f>MAX(0,horaires!$I$3-B5-(horaires!$I$5-HLOOKUP(B5+horaires!$L$3,horaires!$B$3:$I$5,3,1)))</f>
        <v>0.17708333333333343</v>
      </c>
      <c r="H5" s="32">
        <f>horaires!$K$3-MAX(0,horaires!$I$3-B5-(horaires!$I$5-HLOOKUP(B5+horaires!$L$3,horaires!$B$3:$I$5,3,1)))</f>
        <v>9.375E-2</v>
      </c>
      <c r="I5" s="30">
        <f>WORKDAY(A5,E5+IF(F5&gt;G5,1,0),JF!C:C)</f>
        <v>43950</v>
      </c>
      <c r="J5" s="32">
        <f>HLOOKUP(MOD(F5+H5,horaires!$K$3)+horaires!$B$3-horaires!$L$3,horaires!$B$4:$I$5,2,1)+MOD(F5+H5,horaires!$K$3)+horaires!$B$3</f>
        <v>0.61458333333333293</v>
      </c>
    </row>
    <row r="6" spans="1:10" x14ac:dyDescent="0.35">
      <c r="A6" s="30">
        <v>43950</v>
      </c>
      <c r="B6" s="16">
        <v>0.45833333333333331</v>
      </c>
      <c r="C6" s="17">
        <v>0.125</v>
      </c>
      <c r="D6" s="18">
        <v>1</v>
      </c>
      <c r="E6" s="18">
        <f>INT(C6/D6/horaires!$K$3)</f>
        <v>0</v>
      </c>
      <c r="F6" s="16">
        <f>MOD(C6/D6/horaires!$K$3,1)*horaires!$K$3</f>
        <v>0.125</v>
      </c>
      <c r="G6" s="16">
        <f>MAX(0,horaires!$I$3-B6-(horaires!$I$5-HLOOKUP(B6+horaires!$L$3,horaires!$B$3:$I$5,3,1)))</f>
        <v>0.17708333333333343</v>
      </c>
      <c r="H6" s="32">
        <f>horaires!$K$3-MAX(0,horaires!$I$3-B6-(horaires!$I$5-HLOOKUP(B6+horaires!$L$3,horaires!$B$3:$I$5,3,1)))</f>
        <v>9.375E-2</v>
      </c>
      <c r="I6" s="30">
        <f>WORKDAY(A6,E6+IF(F6&gt;G6,1,0),JF!C:C)</f>
        <v>43950</v>
      </c>
      <c r="J6" s="32">
        <f>HLOOKUP(MOD(F6+H6,horaires!$K$3)+horaires!$B$3-horaires!$L$3,horaires!$B$4:$I$5,2,1)+MOD(F6+H6,horaires!$K$3)+horaires!$B$3</f>
        <v>0.65625</v>
      </c>
    </row>
    <row r="7" spans="1:10" x14ac:dyDescent="0.35">
      <c r="A7" s="30">
        <v>43950</v>
      </c>
      <c r="B7" s="16">
        <v>0.45833333333333331</v>
      </c>
      <c r="C7" s="17">
        <v>0.13541666666666699</v>
      </c>
      <c r="D7" s="18">
        <v>1</v>
      </c>
      <c r="E7" s="18">
        <f>INT(C7/D7/horaires!$K$3)</f>
        <v>0</v>
      </c>
      <c r="F7" s="16">
        <f>MOD(C7/D7/horaires!$K$3,1)*horaires!$K$3</f>
        <v>0.13541666666666699</v>
      </c>
      <c r="G7" s="16">
        <f>MAX(0,horaires!$I$3-B7-(horaires!$I$5-HLOOKUP(B7+horaires!$L$3,horaires!$B$3:$I$5,3,1)))</f>
        <v>0.17708333333333343</v>
      </c>
      <c r="H7" s="32">
        <f>horaires!$K$3-MAX(0,horaires!$I$3-B7-(horaires!$I$5-HLOOKUP(B7+horaires!$L$3,horaires!$B$3:$I$5,3,1)))</f>
        <v>9.375E-2</v>
      </c>
      <c r="I7" s="30">
        <f>WORKDAY(A7,E7+IF(F7&gt;G7,1,0),JF!C:C)</f>
        <v>43950</v>
      </c>
      <c r="J7" s="32">
        <f>HLOOKUP(MOD(F7+H7,horaires!$K$3)+horaires!$B$3-horaires!$L$3,horaires!$B$4:$I$5,2,1)+MOD(F7+H7,horaires!$K$3)+horaires!$B$3</f>
        <v>0.66666666666666696</v>
      </c>
    </row>
    <row r="8" spans="1:10" x14ac:dyDescent="0.35">
      <c r="A8" s="30">
        <v>43950</v>
      </c>
      <c r="B8" s="16">
        <v>0.45833333333333331</v>
      </c>
      <c r="C8" s="17">
        <v>0.14583333333333301</v>
      </c>
      <c r="D8" s="18">
        <v>1</v>
      </c>
      <c r="E8" s="18">
        <f>INT(C8/D8/horaires!$K$3)</f>
        <v>0</v>
      </c>
      <c r="F8" s="16">
        <f>MOD(C8/D8/horaires!$K$3,1)*horaires!$K$3</f>
        <v>0.14583333333333301</v>
      </c>
      <c r="G8" s="16">
        <f>MAX(0,horaires!$I$3-B8-(horaires!$I$5-HLOOKUP(B8+horaires!$L$3,horaires!$B$3:$I$5,3,1)))</f>
        <v>0.17708333333333343</v>
      </c>
      <c r="H8" s="32">
        <f>horaires!$K$3-MAX(0,horaires!$I$3-B8-(horaires!$I$5-HLOOKUP(B8+horaires!$L$3,horaires!$B$3:$I$5,3,1)))</f>
        <v>9.375E-2</v>
      </c>
      <c r="I8" s="30">
        <f>WORKDAY(A8,E8+IF(F8&gt;G8,1,0),JF!C:C)</f>
        <v>43950</v>
      </c>
      <c r="J8" s="32">
        <f>HLOOKUP(MOD(F8+H8,horaires!$K$3)+horaires!$B$3-horaires!$L$3,horaires!$B$4:$I$5,2,1)+MOD(F8+H8,horaires!$K$3)+horaires!$B$3</f>
        <v>0.67708333333333304</v>
      </c>
    </row>
    <row r="9" spans="1:10" x14ac:dyDescent="0.35">
      <c r="A9" s="30">
        <v>43950</v>
      </c>
      <c r="B9" s="16">
        <v>0.45833333333333331</v>
      </c>
      <c r="C9" s="17">
        <v>0.15625</v>
      </c>
      <c r="D9" s="18">
        <v>1</v>
      </c>
      <c r="E9" s="18">
        <f>INT(C9/D9/horaires!$K$3)</f>
        <v>0</v>
      </c>
      <c r="F9" s="16">
        <f>MOD(C9/D9/horaires!$K$3,1)*horaires!$K$3</f>
        <v>0.15625</v>
      </c>
      <c r="G9" s="16">
        <f>MAX(0,horaires!$I$3-B9-(horaires!$I$5-HLOOKUP(B9+horaires!$L$3,horaires!$B$3:$I$5,3,1)))</f>
        <v>0.17708333333333343</v>
      </c>
      <c r="H9" s="32">
        <f>horaires!$K$3-MAX(0,horaires!$I$3-B9-(horaires!$I$5-HLOOKUP(B9+horaires!$L$3,horaires!$B$3:$I$5,3,1)))</f>
        <v>9.375E-2</v>
      </c>
      <c r="I9" s="30">
        <f>WORKDAY(A9,E9+IF(F9&gt;G9,1,0),JF!C:C)</f>
        <v>43950</v>
      </c>
      <c r="J9" s="32">
        <f>HLOOKUP(MOD(F9+H9,horaires!$K$3)+horaires!$B$3-horaires!$L$3,horaires!$B$4:$I$5,2,1)+MOD(F9+H9,horaires!$K$3)+horaires!$B$3</f>
        <v>0.6875</v>
      </c>
    </row>
    <row r="10" spans="1:10" x14ac:dyDescent="0.35">
      <c r="A10" s="30">
        <v>43950</v>
      </c>
      <c r="B10" s="16">
        <v>0.45833333333333331</v>
      </c>
      <c r="C10" s="17">
        <v>0.16666666666666699</v>
      </c>
      <c r="D10" s="18">
        <v>1</v>
      </c>
      <c r="E10" s="18">
        <f>INT(C10/D10/horaires!$K$3)</f>
        <v>0</v>
      </c>
      <c r="F10" s="16">
        <f>MOD(C10/D10/horaires!$K$3,1)*horaires!$K$3</f>
        <v>0.16666666666666699</v>
      </c>
      <c r="G10" s="16">
        <f>MAX(0,horaires!$I$3-B10-(horaires!$I$5-HLOOKUP(B10+horaires!$L$3,horaires!$B$3:$I$5,3,1)))</f>
        <v>0.17708333333333343</v>
      </c>
      <c r="H10" s="32">
        <f>horaires!$K$3-MAX(0,horaires!$I$3-B10-(horaires!$I$5-HLOOKUP(B10+horaires!$L$3,horaires!$B$3:$I$5,3,1)))</f>
        <v>9.375E-2</v>
      </c>
      <c r="I10" s="30">
        <f>WORKDAY(A10,E10+IF(F10&gt;G10,1,0),JF!C:C)</f>
        <v>43950</v>
      </c>
      <c r="J10" s="32">
        <f>HLOOKUP(MOD(F10+H10,horaires!$K$3)+horaires!$B$3-horaires!$L$3,horaires!$B$4:$I$5,2,1)+MOD(F10+H10,horaires!$K$3)+horaires!$B$3</f>
        <v>0.69791666666666696</v>
      </c>
    </row>
    <row r="11" spans="1:10" x14ac:dyDescent="0.35">
      <c r="A11" s="30">
        <v>43950</v>
      </c>
      <c r="B11" s="16">
        <v>0.45833333333333331</v>
      </c>
      <c r="C11" s="17">
        <v>0.17708333333333301</v>
      </c>
      <c r="D11" s="18">
        <v>1</v>
      </c>
      <c r="E11" s="18">
        <f>INT(C11/D11/horaires!$K$3)</f>
        <v>0</v>
      </c>
      <c r="F11" s="16">
        <f>MOD(C11/D11/horaires!$K$3,1)*horaires!$K$3</f>
        <v>0.17708333333333301</v>
      </c>
      <c r="G11" s="16">
        <f>MAX(0,horaires!$I$3-B11-(horaires!$I$5-HLOOKUP(B11+horaires!$L$3,horaires!$B$3:$I$5,3,1)))</f>
        <v>0.17708333333333343</v>
      </c>
      <c r="H11" s="32">
        <f>horaires!$K$3-MAX(0,horaires!$I$3-B11-(horaires!$I$5-HLOOKUP(B11+horaires!$L$3,horaires!$B$3:$I$5,3,1)))</f>
        <v>9.375E-2</v>
      </c>
      <c r="I11" s="30">
        <f>WORKDAY(A11,E11+IF(F11&gt;G11,1,0),JF!C:C)</f>
        <v>43950</v>
      </c>
      <c r="J11" s="32">
        <f>HLOOKUP(MOD(F11+H11,horaires!$K$3)+horaires!$B$3-horaires!$L$3,horaires!$B$4:$I$5,2,1)+MOD(F11+H11,horaires!$K$3)+horaires!$B$3</f>
        <v>0.70833333333333304</v>
      </c>
    </row>
    <row r="12" spans="1:10" x14ac:dyDescent="0.35">
      <c r="A12" s="30">
        <v>43950</v>
      </c>
      <c r="B12" s="16">
        <v>0.45833333333333331</v>
      </c>
      <c r="C12" s="17">
        <v>0.1875</v>
      </c>
      <c r="D12" s="18">
        <v>1</v>
      </c>
      <c r="E12" s="18">
        <f>INT(C12/D12/horaires!$K$3)</f>
        <v>0</v>
      </c>
      <c r="F12" s="16">
        <f>MOD(C12/D12/horaires!$K$3,1)*horaires!$K$3</f>
        <v>0.1875</v>
      </c>
      <c r="G12" s="16">
        <f>MAX(0,horaires!$I$3-B12-(horaires!$I$5-HLOOKUP(B12+horaires!$L$3,horaires!$B$3:$I$5,3,1)))</f>
        <v>0.17708333333333343</v>
      </c>
      <c r="H12" s="32">
        <f>horaires!$K$3-MAX(0,horaires!$I$3-B12-(horaires!$I$5-HLOOKUP(B12+horaires!$L$3,horaires!$B$3:$I$5,3,1)))</f>
        <v>9.375E-2</v>
      </c>
      <c r="I12" s="30">
        <f>WORKDAY(A12,E12+IF(F12&gt;G12,1,0),JF!C:C)</f>
        <v>43951</v>
      </c>
      <c r="J12" s="32">
        <f>HLOOKUP(MOD(F12+H12,horaires!$K$3)+horaires!$B$3-horaires!$L$3,horaires!$B$4:$I$5,2,1)+MOD(F12+H12,horaires!$K$3)+horaires!$B$3</f>
        <v>0.34374999999999989</v>
      </c>
    </row>
    <row r="13" spans="1:10" x14ac:dyDescent="0.35">
      <c r="A13" s="30">
        <v>43950</v>
      </c>
      <c r="B13" s="16">
        <v>0.45833333333333331</v>
      </c>
      <c r="C13" s="17">
        <v>0.19791666666666599</v>
      </c>
      <c r="D13" s="18">
        <v>1</v>
      </c>
      <c r="E13" s="18">
        <f>INT(C13/D13/horaires!$K$3)</f>
        <v>0</v>
      </c>
      <c r="F13" s="16">
        <f>MOD(C13/D13/horaires!$K$3,1)*horaires!$K$3</f>
        <v>0.19791666666666599</v>
      </c>
      <c r="G13" s="16">
        <f>MAX(0,horaires!$I$3-B13-(horaires!$I$5-HLOOKUP(B13+horaires!$L$3,horaires!$B$3:$I$5,3,1)))</f>
        <v>0.17708333333333343</v>
      </c>
      <c r="H13" s="32">
        <f>horaires!$K$3-MAX(0,horaires!$I$3-B13-(horaires!$I$5-HLOOKUP(B13+horaires!$L$3,horaires!$B$3:$I$5,3,1)))</f>
        <v>9.375E-2</v>
      </c>
      <c r="I13" s="30">
        <f>WORKDAY(A13,E13+IF(F13&gt;G13,1,0),JF!C:C)</f>
        <v>43951</v>
      </c>
      <c r="J13" s="32">
        <f>HLOOKUP(MOD(F13+H13,horaires!$K$3)+horaires!$B$3-horaires!$L$3,horaires!$B$4:$I$5,2,1)+MOD(F13+H13,horaires!$K$3)+horaires!$B$3</f>
        <v>0.35416666666666585</v>
      </c>
    </row>
    <row r="14" spans="1:10" x14ac:dyDescent="0.35">
      <c r="A14" s="30">
        <v>43950</v>
      </c>
      <c r="B14" s="16">
        <v>0.45833333333333331</v>
      </c>
      <c r="C14" s="17">
        <v>0.20833333333333301</v>
      </c>
      <c r="D14" s="18">
        <v>1</v>
      </c>
      <c r="E14" s="18">
        <f>INT(C14/D14/horaires!$K$3)</f>
        <v>0</v>
      </c>
      <c r="F14" s="16">
        <f>MOD(C14/D14/horaires!$K$3,1)*horaires!$K$3</f>
        <v>0.20833333333333298</v>
      </c>
      <c r="G14" s="16">
        <f>MAX(0,horaires!$I$3-B14-(horaires!$I$5-HLOOKUP(B14+horaires!$L$3,horaires!$B$3:$I$5,3,1)))</f>
        <v>0.17708333333333343</v>
      </c>
      <c r="H14" s="32">
        <f>horaires!$K$3-MAX(0,horaires!$I$3-B14-(horaires!$I$5-HLOOKUP(B14+horaires!$L$3,horaires!$B$3:$I$5,3,1)))</f>
        <v>9.375E-2</v>
      </c>
      <c r="I14" s="30">
        <f>WORKDAY(A14,E14+IF(F14&gt;G14,1,0),JF!C:C)</f>
        <v>43951</v>
      </c>
      <c r="J14" s="32">
        <f>HLOOKUP(MOD(F14+H14,horaires!$K$3)+horaires!$B$3-horaires!$L$3,horaires!$B$4:$I$5,2,1)+MOD(F14+H14,horaires!$K$3)+horaires!$B$3</f>
        <v>0.36458333333333287</v>
      </c>
    </row>
    <row r="15" spans="1:10" x14ac:dyDescent="0.35">
      <c r="A15" s="30">
        <v>43950</v>
      </c>
      <c r="B15" s="16">
        <v>0.45833333333333331</v>
      </c>
      <c r="C15" s="17">
        <v>0.21875</v>
      </c>
      <c r="D15" s="18">
        <v>1</v>
      </c>
      <c r="E15" s="18">
        <f>INT(C15/D15/horaires!$K$3)</f>
        <v>0</v>
      </c>
      <c r="F15" s="16">
        <f>MOD(C15/D15/horaires!$K$3,1)*horaires!$K$3</f>
        <v>0.21875</v>
      </c>
      <c r="G15" s="16">
        <f>MAX(0,horaires!$I$3-B15-(horaires!$I$5-HLOOKUP(B15+horaires!$L$3,horaires!$B$3:$I$5,3,1)))</f>
        <v>0.17708333333333343</v>
      </c>
      <c r="H15" s="32">
        <f>horaires!$K$3-MAX(0,horaires!$I$3-B15-(horaires!$I$5-HLOOKUP(B15+horaires!$L$3,horaires!$B$3:$I$5,3,1)))</f>
        <v>9.375E-2</v>
      </c>
      <c r="I15" s="30">
        <f>WORKDAY(A15,E15+IF(F15&gt;G15,1,0),JF!C:C)</f>
        <v>43951</v>
      </c>
      <c r="J15" s="32">
        <f>HLOOKUP(MOD(F15+H15,horaires!$K$3)+horaires!$B$3-horaires!$L$3,horaires!$B$4:$I$5,2,1)+MOD(F15+H15,horaires!$K$3)+horaires!$B$3</f>
        <v>0.37499999999999989</v>
      </c>
    </row>
    <row r="16" spans="1:10" x14ac:dyDescent="0.35">
      <c r="A16" s="30">
        <v>43950</v>
      </c>
      <c r="B16" s="16">
        <v>0.45833333333333331</v>
      </c>
      <c r="C16" s="17">
        <v>0.22916666666666599</v>
      </c>
      <c r="D16" s="18">
        <v>1</v>
      </c>
      <c r="E16" s="18">
        <f>INT(C16/D16/horaires!$K$3)</f>
        <v>0</v>
      </c>
      <c r="F16" s="16">
        <f>MOD(C16/D16/horaires!$K$3,1)*horaires!$K$3</f>
        <v>0.22916666666666599</v>
      </c>
      <c r="G16" s="16">
        <f>MAX(0,horaires!$I$3-B16-(horaires!$I$5-HLOOKUP(B16+horaires!$L$3,horaires!$B$3:$I$5,3,1)))</f>
        <v>0.17708333333333343</v>
      </c>
      <c r="H16" s="32">
        <f>horaires!$K$3-MAX(0,horaires!$I$3-B16-(horaires!$I$5-HLOOKUP(B16+horaires!$L$3,horaires!$B$3:$I$5,3,1)))</f>
        <v>9.375E-2</v>
      </c>
      <c r="I16" s="30">
        <f>WORKDAY(A16,E16+IF(F16&gt;G16,1,0),JF!C:C)</f>
        <v>43951</v>
      </c>
      <c r="J16" s="32">
        <f>HLOOKUP(MOD(F16+H16,horaires!$K$3)+horaires!$B$3-horaires!$L$3,horaires!$B$4:$I$5,2,1)+MOD(F16+H16,horaires!$K$3)+horaires!$B$3</f>
        <v>0.38541666666666585</v>
      </c>
    </row>
    <row r="17" spans="1:10" x14ac:dyDescent="0.35">
      <c r="A17" s="30">
        <v>43950</v>
      </c>
      <c r="B17" s="16">
        <v>0.45833333333333331</v>
      </c>
      <c r="C17" s="17">
        <v>0.23958333333333301</v>
      </c>
      <c r="D17" s="18">
        <v>1</v>
      </c>
      <c r="E17" s="18">
        <f>INT(C17/D17/horaires!$K$3)</f>
        <v>0</v>
      </c>
      <c r="F17" s="16">
        <f>MOD(C17/D17/horaires!$K$3,1)*horaires!$K$3</f>
        <v>0.23958333333333301</v>
      </c>
      <c r="G17" s="16">
        <f>MAX(0,horaires!$I$3-B17-(horaires!$I$5-HLOOKUP(B17+horaires!$L$3,horaires!$B$3:$I$5,3,1)))</f>
        <v>0.17708333333333343</v>
      </c>
      <c r="H17" s="32">
        <f>horaires!$K$3-MAX(0,horaires!$I$3-B17-(horaires!$I$5-HLOOKUP(B17+horaires!$L$3,horaires!$B$3:$I$5,3,1)))</f>
        <v>9.375E-2</v>
      </c>
      <c r="I17" s="30">
        <f>WORKDAY(A17,E17+IF(F17&gt;G17,1,0),JF!C:C)</f>
        <v>43951</v>
      </c>
      <c r="J17" s="32">
        <f>HLOOKUP(MOD(F17+H17,horaires!$K$3)+horaires!$B$3-horaires!$L$3,horaires!$B$4:$I$5,2,1)+MOD(F17+H17,horaires!$K$3)+horaires!$B$3</f>
        <v>0.39583333333333293</v>
      </c>
    </row>
    <row r="18" spans="1:10" x14ac:dyDescent="0.35">
      <c r="A18" s="30">
        <v>43950</v>
      </c>
      <c r="B18" s="16">
        <v>0.45833333333333331</v>
      </c>
      <c r="C18" s="17">
        <v>0.25</v>
      </c>
      <c r="D18" s="18">
        <v>1</v>
      </c>
      <c r="E18" s="18">
        <f>INT(C18/D18/horaires!$K$3)</f>
        <v>0</v>
      </c>
      <c r="F18" s="16">
        <f>MOD(C18/D18/horaires!$K$3,1)*horaires!$K$3</f>
        <v>0.25</v>
      </c>
      <c r="G18" s="16">
        <f>MAX(0,horaires!$I$3-B18-(horaires!$I$5-HLOOKUP(B18+horaires!$L$3,horaires!$B$3:$I$5,3,1)))</f>
        <v>0.17708333333333343</v>
      </c>
      <c r="H18" s="32">
        <f>horaires!$K$3-MAX(0,horaires!$I$3-B18-(horaires!$I$5-HLOOKUP(B18+horaires!$L$3,horaires!$B$3:$I$5,3,1)))</f>
        <v>9.375E-2</v>
      </c>
      <c r="I18" s="30">
        <f>WORKDAY(A18,E18+IF(F18&gt;G18,1,0),JF!C:C)</f>
        <v>43951</v>
      </c>
      <c r="J18" s="32">
        <f>HLOOKUP(MOD(F18+H18,horaires!$K$3)+horaires!$B$3-horaires!$L$3,horaires!$B$4:$I$5,2,1)+MOD(F18+H18,horaires!$K$3)+horaires!$B$3</f>
        <v>0.40624999999999989</v>
      </c>
    </row>
    <row r="19" spans="1:10" x14ac:dyDescent="0.35">
      <c r="A19" s="30">
        <v>43950</v>
      </c>
      <c r="B19" s="16">
        <v>0.45833333333333331</v>
      </c>
      <c r="C19" s="17">
        <v>0.26041666666666602</v>
      </c>
      <c r="D19" s="18">
        <v>1</v>
      </c>
      <c r="E19" s="18">
        <f>INT(C19/D19/horaires!$K$3)</f>
        <v>0</v>
      </c>
      <c r="F19" s="16">
        <f>MOD(C19/D19/horaires!$K$3,1)*horaires!$K$3</f>
        <v>0.26041666666666602</v>
      </c>
      <c r="G19" s="16">
        <f>MAX(0,horaires!$I$3-B19-(horaires!$I$5-HLOOKUP(B19+horaires!$L$3,horaires!$B$3:$I$5,3,1)))</f>
        <v>0.17708333333333343</v>
      </c>
      <c r="H19" s="32">
        <f>horaires!$K$3-MAX(0,horaires!$I$3-B19-(horaires!$I$5-HLOOKUP(B19+horaires!$L$3,horaires!$B$3:$I$5,3,1)))</f>
        <v>9.375E-2</v>
      </c>
      <c r="I19" s="30">
        <f>WORKDAY(A19,E19+IF(F19&gt;G19,1,0),JF!C:C)</f>
        <v>43951</v>
      </c>
      <c r="J19" s="32">
        <f>HLOOKUP(MOD(F19+H19,horaires!$K$3)+horaires!$B$3-horaires!$L$3,horaires!$B$4:$I$5,2,1)+MOD(F19+H19,horaires!$K$3)+horaires!$B$3</f>
        <v>0.44791666666666591</v>
      </c>
    </row>
    <row r="20" spans="1:10" x14ac:dyDescent="0.35">
      <c r="A20" s="30">
        <v>43950</v>
      </c>
      <c r="B20" s="16">
        <v>0.45833333333333331</v>
      </c>
      <c r="C20" s="17">
        <v>0.27083333333333298</v>
      </c>
      <c r="D20" s="18">
        <v>1</v>
      </c>
      <c r="E20" s="18">
        <f>INT(C20/D20/horaires!$K$3)</f>
        <v>0</v>
      </c>
      <c r="F20" s="16">
        <f>MOD(C20/D20/horaires!$K$3,1)*horaires!$K$3</f>
        <v>0.27083333333333298</v>
      </c>
      <c r="G20" s="16">
        <f>MAX(0,horaires!$I$3-B20-(horaires!$I$5-HLOOKUP(B20+horaires!$L$3,horaires!$B$3:$I$5,3,1)))</f>
        <v>0.17708333333333343</v>
      </c>
      <c r="H20" s="32">
        <f>horaires!$K$3-MAX(0,horaires!$I$3-B20-(horaires!$I$5-HLOOKUP(B20+horaires!$L$3,horaires!$B$3:$I$5,3,1)))</f>
        <v>9.375E-2</v>
      </c>
      <c r="I20" s="30">
        <f>WORKDAY(A20,E20+IF(F20&gt;G20,1,0),JF!C:C)</f>
        <v>43951</v>
      </c>
      <c r="J20" s="32">
        <f>HLOOKUP(MOD(F20+H20,horaires!$K$3)+horaires!$B$3-horaires!$L$3,horaires!$B$4:$I$5,2,1)+MOD(F20+H20,horaires!$K$3)+horaires!$B$3</f>
        <v>0.45833333333333287</v>
      </c>
    </row>
    <row r="21" spans="1:10" x14ac:dyDescent="0.35">
      <c r="A21" s="30">
        <v>43950</v>
      </c>
      <c r="B21" s="16">
        <v>0.45833333333333331</v>
      </c>
      <c r="C21" s="17">
        <v>0.281249999999998</v>
      </c>
      <c r="D21" s="18">
        <v>1</v>
      </c>
      <c r="E21" s="18">
        <f>INT(C21/D21/horaires!$K$3)</f>
        <v>1</v>
      </c>
      <c r="F21" s="16">
        <f>MOD(C21/D21/horaires!$K$3,1)*horaires!$K$3</f>
        <v>1.0416666666664588E-2</v>
      </c>
      <c r="G21" s="16">
        <f>MAX(0,horaires!$I$3-B21-(horaires!$I$5-HLOOKUP(B21+horaires!$L$3,horaires!$B$3:$I$5,3,1)))</f>
        <v>0.17708333333333343</v>
      </c>
      <c r="H21" s="32">
        <f>horaires!$K$3-MAX(0,horaires!$I$3-B21-(horaires!$I$5-HLOOKUP(B21+horaires!$L$3,horaires!$B$3:$I$5,3,1)))</f>
        <v>9.375E-2</v>
      </c>
      <c r="I21" s="30">
        <f>WORKDAY(A21,E21+IF(F21&gt;G21,1,0),JF!C:C)</f>
        <v>43951</v>
      </c>
      <c r="J21" s="32">
        <f>HLOOKUP(MOD(F21+H21,horaires!$K$3)+horaires!$B$3-horaires!$L$3,horaires!$B$4:$I$5,2,1)+MOD(F21+H21,horaires!$K$3)+horaires!$B$3</f>
        <v>0.46874999999999789</v>
      </c>
    </row>
    <row r="22" spans="1:10" x14ac:dyDescent="0.35">
      <c r="A22" s="30">
        <v>43950</v>
      </c>
      <c r="B22" s="16">
        <v>0.45833333333333331</v>
      </c>
      <c r="C22" s="17">
        <v>0.29166666666666402</v>
      </c>
      <c r="D22" s="18">
        <v>1</v>
      </c>
      <c r="E22" s="18">
        <f>INT(C22/D22/horaires!$K$3)</f>
        <v>1</v>
      </c>
      <c r="F22" s="16">
        <f>MOD(C22/D22/horaires!$K$3,1)*horaires!$K$3</f>
        <v>2.0833333333330619E-2</v>
      </c>
      <c r="G22" s="16">
        <f>MAX(0,horaires!$I$3-B22-(horaires!$I$5-HLOOKUP(B22+horaires!$L$3,horaires!$B$3:$I$5,3,1)))</f>
        <v>0.17708333333333343</v>
      </c>
      <c r="H22" s="32">
        <f>horaires!$K$3-MAX(0,horaires!$I$3-B22-(horaires!$I$5-HLOOKUP(B22+horaires!$L$3,horaires!$B$3:$I$5,3,1)))</f>
        <v>9.375E-2</v>
      </c>
      <c r="I22" s="30">
        <f>WORKDAY(A22,E22+IF(F22&gt;G22,1,0),JF!C:C)</f>
        <v>43951</v>
      </c>
      <c r="J22" s="32">
        <f>HLOOKUP(MOD(F22+H22,horaires!$K$3)+horaires!$B$3-horaires!$L$3,horaires!$B$4:$I$5,2,1)+MOD(F22+H22,horaires!$K$3)+horaires!$B$3</f>
        <v>0.47916666666666397</v>
      </c>
    </row>
    <row r="23" spans="1:10" x14ac:dyDescent="0.35">
      <c r="A23" s="30">
        <v>43950</v>
      </c>
      <c r="B23" s="16">
        <v>0.45833333333333331</v>
      </c>
      <c r="C23" s="17">
        <v>0.30208333333332998</v>
      </c>
      <c r="D23" s="18">
        <v>1</v>
      </c>
      <c r="E23" s="18">
        <f>INT(C23/D23/horaires!$K$3)</f>
        <v>1</v>
      </c>
      <c r="F23" s="16">
        <f>MOD(C23/D23/horaires!$K$3,1)*horaires!$K$3</f>
        <v>3.1249999999996531E-2</v>
      </c>
      <c r="G23" s="16">
        <f>MAX(0,horaires!$I$3-B23-(horaires!$I$5-HLOOKUP(B23+horaires!$L$3,horaires!$B$3:$I$5,3,1)))</f>
        <v>0.17708333333333343</v>
      </c>
      <c r="H23" s="32">
        <f>horaires!$K$3-MAX(0,horaires!$I$3-B23-(horaires!$I$5-HLOOKUP(B23+horaires!$L$3,horaires!$B$3:$I$5,3,1)))</f>
        <v>9.375E-2</v>
      </c>
      <c r="I23" s="30">
        <f>WORKDAY(A23,E23+IF(F23&gt;G23,1,0),JF!C:C)</f>
        <v>43951</v>
      </c>
      <c r="J23" s="32">
        <f>HLOOKUP(MOD(F23+H23,horaires!$K$3)+horaires!$B$3-horaires!$L$3,horaires!$B$4:$I$5,2,1)+MOD(F23+H23,horaires!$K$3)+horaires!$B$3</f>
        <v>0.48958333333332982</v>
      </c>
    </row>
    <row r="24" spans="1:10" x14ac:dyDescent="0.35">
      <c r="A24" s="30">
        <v>43950</v>
      </c>
      <c r="B24" s="16">
        <v>0.45833333333333331</v>
      </c>
      <c r="C24" s="17">
        <v>0.312499999999996</v>
      </c>
      <c r="D24" s="18">
        <v>1</v>
      </c>
      <c r="E24" s="18">
        <f>INT(C24/D24/horaires!$K$3)</f>
        <v>1</v>
      </c>
      <c r="F24" s="16">
        <f>MOD(C24/D24/horaires!$K$3,1)*horaires!$K$3</f>
        <v>4.1666666666662563E-2</v>
      </c>
      <c r="G24" s="16">
        <f>MAX(0,horaires!$I$3-B24-(horaires!$I$5-HLOOKUP(B24+horaires!$L$3,horaires!$B$3:$I$5,3,1)))</f>
        <v>0.17708333333333343</v>
      </c>
      <c r="H24" s="32">
        <f>horaires!$K$3-MAX(0,horaires!$I$3-B24-(horaires!$I$5-HLOOKUP(B24+horaires!$L$3,horaires!$B$3:$I$5,3,1)))</f>
        <v>9.375E-2</v>
      </c>
      <c r="I24" s="30">
        <f>WORKDAY(A24,E24+IF(F24&gt;G24,1,0),JF!C:C)</f>
        <v>43951</v>
      </c>
      <c r="J24" s="32">
        <f>HLOOKUP(MOD(F24+H24,horaires!$K$3)+horaires!$B$3-horaires!$L$3,horaires!$B$4:$I$5,2,1)+MOD(F24+H24,horaires!$K$3)+horaires!$B$3</f>
        <v>0.49999999999999589</v>
      </c>
    </row>
    <row r="25" spans="1:10" x14ac:dyDescent="0.35">
      <c r="A25" s="30">
        <v>43950</v>
      </c>
      <c r="B25" s="16">
        <v>0.45833333333333331</v>
      </c>
      <c r="C25" s="17">
        <v>0.32291666666666202</v>
      </c>
      <c r="D25" s="18">
        <v>1</v>
      </c>
      <c r="E25" s="18">
        <f>INT(C25/D25/horaires!$K$3)</f>
        <v>1</v>
      </c>
      <c r="F25" s="16">
        <f>MOD(C25/D25/horaires!$K$3,1)*horaires!$K$3</f>
        <v>5.2083333333328596E-2</v>
      </c>
      <c r="G25" s="16">
        <f>MAX(0,horaires!$I$3-B25-(horaires!$I$5-HLOOKUP(B25+horaires!$L$3,horaires!$B$3:$I$5,3,1)))</f>
        <v>0.17708333333333343</v>
      </c>
      <c r="H25" s="32">
        <f>horaires!$K$3-MAX(0,horaires!$I$3-B25-(horaires!$I$5-HLOOKUP(B25+horaires!$L$3,horaires!$B$3:$I$5,3,1)))</f>
        <v>9.375E-2</v>
      </c>
      <c r="I25" s="30">
        <f>WORKDAY(A25,E25+IF(F25&gt;G25,1,0),JF!C:C)</f>
        <v>43951</v>
      </c>
      <c r="J25" s="32">
        <f>HLOOKUP(MOD(F25+H25,horaires!$K$3)+horaires!$B$3-horaires!$L$3,horaires!$B$4:$I$5,2,1)+MOD(F25+H25,horaires!$K$3)+horaires!$B$3</f>
        <v>0.5520833333333286</v>
      </c>
    </row>
    <row r="26" spans="1:10" x14ac:dyDescent="0.35">
      <c r="A26" s="30">
        <v>43950</v>
      </c>
      <c r="B26" s="16">
        <v>0.45833333333333331</v>
      </c>
      <c r="C26" s="17">
        <v>0.33333333333332799</v>
      </c>
      <c r="D26" s="18">
        <v>1</v>
      </c>
      <c r="E26" s="18">
        <f>INT(C26/D26/horaires!$K$3)</f>
        <v>1</v>
      </c>
      <c r="F26" s="16">
        <f>MOD(C26/D26/horaires!$K$3,1)*horaires!$K$3</f>
        <v>6.2499999999994567E-2</v>
      </c>
      <c r="G26" s="16">
        <f>MAX(0,horaires!$I$3-B26-(horaires!$I$5-HLOOKUP(B26+horaires!$L$3,horaires!$B$3:$I$5,3,1)))</f>
        <v>0.17708333333333343</v>
      </c>
      <c r="H26" s="32">
        <f>horaires!$K$3-MAX(0,horaires!$I$3-B26-(horaires!$I$5-HLOOKUP(B26+horaires!$L$3,horaires!$B$3:$I$5,3,1)))</f>
        <v>9.375E-2</v>
      </c>
      <c r="I26" s="30">
        <f>WORKDAY(A26,E26+IF(F26&gt;G26,1,0),JF!C:C)</f>
        <v>43951</v>
      </c>
      <c r="J26" s="32">
        <f>HLOOKUP(MOD(F26+H26,horaires!$K$3)+horaires!$B$3-horaires!$L$3,horaires!$B$4:$I$5,2,1)+MOD(F26+H26,horaires!$K$3)+horaires!$B$3</f>
        <v>0.56249999999999445</v>
      </c>
    </row>
    <row r="27" spans="1:10" x14ac:dyDescent="0.35">
      <c r="A27" s="30">
        <v>43950</v>
      </c>
      <c r="B27" s="16">
        <v>0.45833333333333331</v>
      </c>
      <c r="C27" s="17">
        <v>0.343749999999994</v>
      </c>
      <c r="D27" s="18">
        <v>1</v>
      </c>
      <c r="E27" s="18">
        <f>INT(C27/D27/horaires!$K$3)</f>
        <v>1</v>
      </c>
      <c r="F27" s="16">
        <f>MOD(C27/D27/horaires!$K$3,1)*horaires!$K$3</f>
        <v>7.2916666666660593E-2</v>
      </c>
      <c r="G27" s="16">
        <f>MAX(0,horaires!$I$3-B27-(horaires!$I$5-HLOOKUP(B27+horaires!$L$3,horaires!$B$3:$I$5,3,1)))</f>
        <v>0.17708333333333343</v>
      </c>
      <c r="H27" s="32">
        <f>horaires!$K$3-MAX(0,horaires!$I$3-B27-(horaires!$I$5-HLOOKUP(B27+horaires!$L$3,horaires!$B$3:$I$5,3,1)))</f>
        <v>9.375E-2</v>
      </c>
      <c r="I27" s="30">
        <f>WORKDAY(A27,E27+IF(F27&gt;G27,1,0),JF!C:C)</f>
        <v>43951</v>
      </c>
      <c r="J27" s="32">
        <f>HLOOKUP(MOD(F27+H27,horaires!$K$3)+horaires!$B$3-horaires!$L$3,horaires!$B$4:$I$5,2,1)+MOD(F27+H27,horaires!$K$3)+horaires!$B$3</f>
        <v>0.57291666666666052</v>
      </c>
    </row>
    <row r="28" spans="1:10" x14ac:dyDescent="0.35">
      <c r="A28" s="30">
        <v>43950</v>
      </c>
      <c r="B28" s="16">
        <v>0.45833333333333331</v>
      </c>
      <c r="C28" s="17">
        <v>0.35416666666665297</v>
      </c>
      <c r="D28" s="18">
        <v>1</v>
      </c>
      <c r="E28" s="18">
        <f>INT(C28/D28/horaires!$K$3)</f>
        <v>1</v>
      </c>
      <c r="F28" s="16">
        <f>MOD(C28/D28/horaires!$K$3,1)*horaires!$K$3</f>
        <v>8.3333333333319534E-2</v>
      </c>
      <c r="G28" s="16">
        <f>MAX(0,horaires!$I$3-B28-(horaires!$I$5-HLOOKUP(B28+horaires!$L$3,horaires!$B$3:$I$5,3,1)))</f>
        <v>0.17708333333333343</v>
      </c>
      <c r="H28" s="32">
        <f>horaires!$K$3-MAX(0,horaires!$I$3-B28-(horaires!$I$5-HLOOKUP(B28+horaires!$L$3,horaires!$B$3:$I$5,3,1)))</f>
        <v>9.375E-2</v>
      </c>
      <c r="I28" s="30">
        <f>WORKDAY(A28,E28+IF(F28&gt;G28,1,0),JF!C:C)</f>
        <v>43951</v>
      </c>
      <c r="J28" s="32">
        <f>HLOOKUP(MOD(F28+H28,horaires!$K$3)+horaires!$B$3-horaires!$L$3,horaires!$B$4:$I$5,2,1)+MOD(F28+H28,horaires!$K$3)+horaires!$B$3</f>
        <v>0.58333333333331949</v>
      </c>
    </row>
    <row r="29" spans="1:10" x14ac:dyDescent="0.35">
      <c r="A29" s="30">
        <v>43950</v>
      </c>
      <c r="B29" s="16">
        <v>0.45833333333333331</v>
      </c>
      <c r="C29" s="17">
        <v>0.36458333333331799</v>
      </c>
      <c r="D29" s="18">
        <v>1</v>
      </c>
      <c r="E29" s="18">
        <f>INT(C29/D29/horaires!$K$3)</f>
        <v>1</v>
      </c>
      <c r="F29" s="16">
        <f>MOD(C29/D29/horaires!$K$3,1)*horaires!$K$3</f>
        <v>9.374999999998454E-2</v>
      </c>
      <c r="G29" s="16">
        <f>MAX(0,horaires!$I$3-B29-(horaires!$I$5-HLOOKUP(B29+horaires!$L$3,horaires!$B$3:$I$5,3,1)))</f>
        <v>0.17708333333333343</v>
      </c>
      <c r="H29" s="32">
        <f>horaires!$K$3-MAX(0,horaires!$I$3-B29-(horaires!$I$5-HLOOKUP(B29+horaires!$L$3,horaires!$B$3:$I$5,3,1)))</f>
        <v>9.375E-2</v>
      </c>
      <c r="I29" s="30">
        <f>WORKDAY(A29,E29+IF(F29&gt;G29,1,0),JF!C:C)</f>
        <v>43951</v>
      </c>
      <c r="J29" s="32">
        <f>HLOOKUP(MOD(F29+H29,horaires!$K$3)+horaires!$B$3-horaires!$L$3,horaires!$B$4:$I$5,2,1)+MOD(F29+H29,horaires!$K$3)+horaires!$B$3</f>
        <v>0.59374999999998446</v>
      </c>
    </row>
    <row r="30" spans="1:10" x14ac:dyDescent="0.35">
      <c r="A30" s="30">
        <v>43950</v>
      </c>
      <c r="B30" s="16">
        <v>0.45833333333333331</v>
      </c>
      <c r="C30" s="17">
        <v>0.37499999999998301</v>
      </c>
      <c r="D30" s="18">
        <v>1</v>
      </c>
      <c r="E30" s="18">
        <f>INT(C30/D30/horaires!$K$3)</f>
        <v>1</v>
      </c>
      <c r="F30" s="16">
        <f>MOD(C30/D30/horaires!$K$3,1)*horaires!$K$3</f>
        <v>0.10416666666664962</v>
      </c>
      <c r="G30" s="16">
        <f>MAX(0,horaires!$I$3-B30-(horaires!$I$5-HLOOKUP(B30+horaires!$L$3,horaires!$B$3:$I$5,3,1)))</f>
        <v>0.17708333333333343</v>
      </c>
      <c r="H30" s="32">
        <f>horaires!$K$3-MAX(0,horaires!$I$3-B30-(horaires!$I$5-HLOOKUP(B30+horaires!$L$3,horaires!$B$3:$I$5,3,1)))</f>
        <v>9.375E-2</v>
      </c>
      <c r="I30" s="30">
        <f>WORKDAY(A30,E30+IF(F30&gt;G30,1,0),JF!C:C)</f>
        <v>43951</v>
      </c>
      <c r="J30" s="32">
        <f>HLOOKUP(MOD(F30+H30,horaires!$K$3)+horaires!$B$3-horaires!$L$3,horaires!$B$4:$I$5,2,1)+MOD(F30+H30,horaires!$K$3)+horaires!$B$3</f>
        <v>0.60416666666664964</v>
      </c>
    </row>
    <row r="31" spans="1:10" x14ac:dyDescent="0.35">
      <c r="A31" s="30">
        <v>43950</v>
      </c>
      <c r="B31" s="16">
        <v>0.45833333333333331</v>
      </c>
      <c r="C31" s="17">
        <v>0.38541666666664798</v>
      </c>
      <c r="D31" s="18">
        <v>1</v>
      </c>
      <c r="E31" s="18">
        <f>INT(C31/D31/horaires!$K$3)</f>
        <v>1</v>
      </c>
      <c r="F31" s="16">
        <f>MOD(C31/D31/horaires!$K$3,1)*horaires!$K$3</f>
        <v>0.11458333333331457</v>
      </c>
      <c r="G31" s="16">
        <f>MAX(0,horaires!$I$3-B31-(horaires!$I$5-HLOOKUP(B31+horaires!$L$3,horaires!$B$3:$I$5,3,1)))</f>
        <v>0.17708333333333343</v>
      </c>
      <c r="H31" s="32">
        <f>horaires!$K$3-MAX(0,horaires!$I$3-B31-(horaires!$I$5-HLOOKUP(B31+horaires!$L$3,horaires!$B$3:$I$5,3,1)))</f>
        <v>9.375E-2</v>
      </c>
      <c r="I31" s="30">
        <f>WORKDAY(A31,E31+IF(F31&gt;G31,1,0),JF!C:C)</f>
        <v>43951</v>
      </c>
      <c r="J31" s="32">
        <f>HLOOKUP(MOD(F31+H31,horaires!$K$3)+horaires!$B$3-horaires!$L$3,horaires!$B$4:$I$5,2,1)+MOD(F31+H31,horaires!$K$3)+horaires!$B$3</f>
        <v>0.6145833333333145</v>
      </c>
    </row>
    <row r="32" spans="1:10" x14ac:dyDescent="0.35">
      <c r="A32" s="30">
        <v>43950</v>
      </c>
      <c r="B32" s="16">
        <v>0.45833333333333331</v>
      </c>
      <c r="C32" s="17">
        <v>0.395833333333313</v>
      </c>
      <c r="D32" s="18">
        <v>1</v>
      </c>
      <c r="E32" s="18">
        <f>INT(C32/D32/horaires!$K$3)</f>
        <v>1</v>
      </c>
      <c r="F32" s="16">
        <f>MOD(C32/D32/horaires!$K$3,1)*horaires!$K$3</f>
        <v>0.12499999999997957</v>
      </c>
      <c r="G32" s="16">
        <f>MAX(0,horaires!$I$3-B32-(horaires!$I$5-HLOOKUP(B32+horaires!$L$3,horaires!$B$3:$I$5,3,1)))</f>
        <v>0.17708333333333343</v>
      </c>
      <c r="H32" s="32">
        <f>horaires!$K$3-MAX(0,horaires!$I$3-B32-(horaires!$I$5-HLOOKUP(B32+horaires!$L$3,horaires!$B$3:$I$5,3,1)))</f>
        <v>9.375E-2</v>
      </c>
      <c r="I32" s="30">
        <f>WORKDAY(A32,E32+IF(F32&gt;G32,1,0),JF!C:C)</f>
        <v>43951</v>
      </c>
      <c r="J32" s="32">
        <f>HLOOKUP(MOD(F32+H32,horaires!$K$3)+horaires!$B$3-horaires!$L$3,horaires!$B$4:$I$5,2,1)+MOD(F32+H32,horaires!$K$3)+horaires!$B$3</f>
        <v>0.65624999999997957</v>
      </c>
    </row>
    <row r="33" spans="1:10" x14ac:dyDescent="0.35">
      <c r="A33" s="30">
        <v>43950</v>
      </c>
      <c r="B33" s="16">
        <v>0.45833333333333331</v>
      </c>
      <c r="C33" s="17">
        <v>0.40624999999997802</v>
      </c>
      <c r="D33" s="18">
        <v>1</v>
      </c>
      <c r="E33" s="18">
        <f>INT(C33/D33/horaires!$K$3)</f>
        <v>1</v>
      </c>
      <c r="F33" s="16">
        <f>MOD(C33/D33/horaires!$K$3,1)*horaires!$K$3</f>
        <v>0.13541666666664459</v>
      </c>
      <c r="G33" s="16">
        <f>MAX(0,horaires!$I$3-B33-(horaires!$I$5-HLOOKUP(B33+horaires!$L$3,horaires!$B$3:$I$5,3,1)))</f>
        <v>0.17708333333333343</v>
      </c>
      <c r="H33" s="32">
        <f>horaires!$K$3-MAX(0,horaires!$I$3-B33-(horaires!$I$5-HLOOKUP(B33+horaires!$L$3,horaires!$B$3:$I$5,3,1)))</f>
        <v>9.375E-2</v>
      </c>
      <c r="I33" s="30">
        <f>WORKDAY(A33,E33+IF(F33&gt;G33,1,0),JF!C:C)</f>
        <v>43951</v>
      </c>
      <c r="J33" s="32">
        <f>HLOOKUP(MOD(F33+H33,horaires!$K$3)+horaires!$B$3-horaires!$L$3,horaires!$B$4:$I$5,2,1)+MOD(F33+H33,horaires!$K$3)+horaires!$B$3</f>
        <v>0.66666666666664454</v>
      </c>
    </row>
    <row r="34" spans="1:10" x14ac:dyDescent="0.35">
      <c r="A34" s="30">
        <v>43950</v>
      </c>
      <c r="B34" s="16">
        <v>0.45833333333333331</v>
      </c>
      <c r="C34" s="17">
        <v>0.41666666666664298</v>
      </c>
      <c r="D34" s="18">
        <v>1</v>
      </c>
      <c r="E34" s="18">
        <f>INT(C34/D34/horaires!$K$3)</f>
        <v>1</v>
      </c>
      <c r="F34" s="16">
        <f>MOD(C34/D34/horaires!$K$3,1)*horaires!$K$3</f>
        <v>0.14583333333330953</v>
      </c>
      <c r="G34" s="16">
        <f>MAX(0,horaires!$I$3-B34-(horaires!$I$5-HLOOKUP(B34+horaires!$L$3,horaires!$B$3:$I$5,3,1)))</f>
        <v>0.17708333333333343</v>
      </c>
      <c r="H34" s="32">
        <f>horaires!$K$3-MAX(0,horaires!$I$3-B34-(horaires!$I$5-HLOOKUP(B34+horaires!$L$3,horaires!$B$3:$I$5,3,1)))</f>
        <v>9.375E-2</v>
      </c>
      <c r="I34" s="30">
        <f>WORKDAY(A34,E34+IF(F34&gt;G34,1,0),JF!C:C)</f>
        <v>43951</v>
      </c>
      <c r="J34" s="32">
        <f>HLOOKUP(MOD(F34+H34,horaires!$K$3)+horaires!$B$3-horaires!$L$3,horaires!$B$4:$I$5,2,1)+MOD(F34+H34,horaires!$K$3)+horaires!$B$3</f>
        <v>0.6770833333333095</v>
      </c>
    </row>
    <row r="35" spans="1:10" x14ac:dyDescent="0.35">
      <c r="A35" s="30">
        <v>43950</v>
      </c>
      <c r="B35" s="16">
        <v>0.45833333333333331</v>
      </c>
      <c r="C35" s="17">
        <v>0.427083333333308</v>
      </c>
      <c r="D35" s="18">
        <v>1</v>
      </c>
      <c r="E35" s="18">
        <f>INT(C35/D35/horaires!$K$3)</f>
        <v>1</v>
      </c>
      <c r="F35" s="16">
        <f>MOD(C35/D35/horaires!$K$3,1)*horaires!$K$3</f>
        <v>0.1562499999999746</v>
      </c>
      <c r="G35" s="16">
        <f>MAX(0,horaires!$I$3-B35-(horaires!$I$5-HLOOKUP(B35+horaires!$L$3,horaires!$B$3:$I$5,3,1)))</f>
        <v>0.17708333333333343</v>
      </c>
      <c r="H35" s="32">
        <f>horaires!$K$3-MAX(0,horaires!$I$3-B35-(horaires!$I$5-HLOOKUP(B35+horaires!$L$3,horaires!$B$3:$I$5,3,1)))</f>
        <v>9.375E-2</v>
      </c>
      <c r="I35" s="30">
        <f>WORKDAY(A35,E35+IF(F35&gt;G35,1,0),JF!C:C)</f>
        <v>43951</v>
      </c>
      <c r="J35" s="32">
        <f>HLOOKUP(MOD(F35+H35,horaires!$K$3)+horaires!$B$3-horaires!$L$3,horaires!$B$4:$I$5,2,1)+MOD(F35+H35,horaires!$K$3)+horaires!$B$3</f>
        <v>0.68749999999997446</v>
      </c>
    </row>
    <row r="36" spans="1:10" x14ac:dyDescent="0.35">
      <c r="A36" s="30">
        <v>43950</v>
      </c>
      <c r="B36" s="16">
        <v>0.45833333333333331</v>
      </c>
      <c r="C36" s="17">
        <v>0.43749999999997302</v>
      </c>
      <c r="D36" s="18">
        <v>1</v>
      </c>
      <c r="E36" s="18">
        <f>INT(C36/D36/horaires!$K$3)</f>
        <v>1</v>
      </c>
      <c r="F36" s="16">
        <f>MOD(C36/D36/horaires!$K$3,1)*horaires!$K$3</f>
        <v>0.16666666666663962</v>
      </c>
      <c r="G36" s="16">
        <f>MAX(0,horaires!$I$3-B36-(horaires!$I$5-HLOOKUP(B36+horaires!$L$3,horaires!$B$3:$I$5,3,1)))</f>
        <v>0.17708333333333343</v>
      </c>
      <c r="H36" s="32">
        <f>horaires!$K$3-MAX(0,horaires!$I$3-B36-(horaires!$I$5-HLOOKUP(B36+horaires!$L$3,horaires!$B$3:$I$5,3,1)))</f>
        <v>9.375E-2</v>
      </c>
      <c r="I36" s="30">
        <f>WORKDAY(A36,E36+IF(F36&gt;G36,1,0),JF!C:C)</f>
        <v>43951</v>
      </c>
      <c r="J36" s="32">
        <f>HLOOKUP(MOD(F36+H36,horaires!$K$3)+horaires!$B$3-horaires!$L$3,horaires!$B$4:$I$5,2,1)+MOD(F36+H36,horaires!$K$3)+horaires!$B$3</f>
        <v>0.69791666666663965</v>
      </c>
    </row>
    <row r="37" spans="1:10" x14ac:dyDescent="0.35">
      <c r="A37" s="30">
        <v>43950</v>
      </c>
      <c r="B37" s="16">
        <v>0.45833333333333331</v>
      </c>
      <c r="C37" s="17">
        <v>0.44791666666663799</v>
      </c>
      <c r="D37" s="18">
        <v>1</v>
      </c>
      <c r="E37" s="18">
        <f>INT(C37/D37/horaires!$K$3)</f>
        <v>1</v>
      </c>
      <c r="F37" s="16">
        <f>MOD(C37/D37/horaires!$K$3,1)*horaires!$K$3</f>
        <v>0.17708333333330456</v>
      </c>
      <c r="G37" s="16">
        <f>MAX(0,horaires!$I$3-B37-(horaires!$I$5-HLOOKUP(B37+horaires!$L$3,horaires!$B$3:$I$5,3,1)))</f>
        <v>0.17708333333333343</v>
      </c>
      <c r="H37" s="32">
        <f>horaires!$K$3-MAX(0,horaires!$I$3-B37-(horaires!$I$5-HLOOKUP(B37+horaires!$L$3,horaires!$B$3:$I$5,3,1)))</f>
        <v>9.375E-2</v>
      </c>
      <c r="I37" s="30">
        <f>WORKDAY(A37,E37+IF(F37&gt;G37,1,0),JF!C:C)</f>
        <v>43951</v>
      </c>
      <c r="J37" s="32">
        <f>HLOOKUP(MOD(F37+H37,horaires!$K$3)+horaires!$B$3-horaires!$L$3,horaires!$B$4:$I$5,2,1)+MOD(F37+H37,horaires!$K$3)+horaires!$B$3</f>
        <v>0.7083333333333045</v>
      </c>
    </row>
    <row r="38" spans="1:10" x14ac:dyDescent="0.35">
      <c r="A38" s="30">
        <v>43950</v>
      </c>
      <c r="B38" s="16">
        <v>0.45833333333333331</v>
      </c>
      <c r="C38" s="17">
        <v>0.45833333333330301</v>
      </c>
      <c r="D38" s="18">
        <v>1</v>
      </c>
      <c r="E38" s="18">
        <f>INT(C38/D38/horaires!$K$3)</f>
        <v>1</v>
      </c>
      <c r="F38" s="16">
        <f>MOD(C38/D38/horaires!$K$3,1)*horaires!$K$3</f>
        <v>0.18749999999996958</v>
      </c>
      <c r="G38" s="16">
        <f>MAX(0,horaires!$I$3-B38-(horaires!$I$5-HLOOKUP(B38+horaires!$L$3,horaires!$B$3:$I$5,3,1)))</f>
        <v>0.17708333333333343</v>
      </c>
      <c r="H38" s="32">
        <f>horaires!$K$3-MAX(0,horaires!$I$3-B38-(horaires!$I$5-HLOOKUP(B38+horaires!$L$3,horaires!$B$3:$I$5,3,1)))</f>
        <v>9.375E-2</v>
      </c>
      <c r="I38" s="30">
        <f>WORKDAY(A38,E38+IF(F38&gt;G38,1,0),JF!C:C)</f>
        <v>43955</v>
      </c>
      <c r="J38" s="32">
        <f>HLOOKUP(MOD(F38+H38,horaires!$K$3)+horaires!$B$3-horaires!$L$3,horaires!$B$4:$I$5,2,1)+MOD(F38+H38,horaires!$K$3)+horaires!$B$3</f>
        <v>0.34374999999996947</v>
      </c>
    </row>
    <row r="39" spans="1:10" x14ac:dyDescent="0.35">
      <c r="A39" s="30">
        <v>43950</v>
      </c>
      <c r="B39" s="16">
        <v>0.45833333333333331</v>
      </c>
      <c r="C39" s="17">
        <v>0.46874999999996803</v>
      </c>
      <c r="D39" s="18">
        <v>1</v>
      </c>
      <c r="E39" s="18">
        <f>INT(C39/D39/horaires!$K$3)</f>
        <v>1</v>
      </c>
      <c r="F39" s="16">
        <f>MOD(C39/D39/horaires!$K$3,1)*horaires!$K$3</f>
        <v>0.19791666666663457</v>
      </c>
      <c r="G39" s="16">
        <f>MAX(0,horaires!$I$3-B39-(horaires!$I$5-HLOOKUP(B39+horaires!$L$3,horaires!$B$3:$I$5,3,1)))</f>
        <v>0.17708333333333343</v>
      </c>
      <c r="H39" s="32">
        <f>horaires!$K$3-MAX(0,horaires!$I$3-B39-(horaires!$I$5-HLOOKUP(B39+horaires!$L$3,horaires!$B$3:$I$5,3,1)))</f>
        <v>9.375E-2</v>
      </c>
      <c r="I39" s="30">
        <f>WORKDAY(A39,E39+IF(F39&gt;G39,1,0),JF!C:C)</f>
        <v>43955</v>
      </c>
      <c r="J39" s="32">
        <f>HLOOKUP(MOD(F39+H39,horaires!$K$3)+horaires!$B$3-horaires!$L$3,horaires!$B$4:$I$5,2,1)+MOD(F39+H39,horaires!$K$3)+horaires!$B$3</f>
        <v>0.35416666666663443</v>
      </c>
    </row>
    <row r="40" spans="1:10" x14ac:dyDescent="0.35">
      <c r="A40" s="30">
        <v>43950</v>
      </c>
      <c r="B40" s="16">
        <v>0.45833333333333331</v>
      </c>
      <c r="C40" s="17">
        <v>0.47916666666663299</v>
      </c>
      <c r="D40" s="18">
        <v>1</v>
      </c>
      <c r="E40" s="18">
        <f>INT(C40/D40/horaires!$K$3)</f>
        <v>1</v>
      </c>
      <c r="F40" s="16">
        <f>MOD(C40/D40/horaires!$K$3,1)*horaires!$K$3</f>
        <v>0.20833333333329959</v>
      </c>
      <c r="G40" s="16">
        <f>MAX(0,horaires!$I$3-B40-(horaires!$I$5-HLOOKUP(B40+horaires!$L$3,horaires!$B$3:$I$5,3,1)))</f>
        <v>0.17708333333333343</v>
      </c>
      <c r="H40" s="32">
        <f>horaires!$K$3-MAX(0,horaires!$I$3-B40-(horaires!$I$5-HLOOKUP(B40+horaires!$L$3,horaires!$B$3:$I$5,3,1)))</f>
        <v>9.375E-2</v>
      </c>
      <c r="I40" s="30">
        <f>WORKDAY(A40,E40+IF(F40&gt;G40,1,0),JF!C:C)</f>
        <v>43955</v>
      </c>
      <c r="J40" s="32">
        <f>HLOOKUP(MOD(F40+H40,horaires!$K$3)+horaires!$B$3-horaires!$L$3,horaires!$B$4:$I$5,2,1)+MOD(F40+H40,horaires!$K$3)+horaires!$B$3</f>
        <v>0.36458333333329951</v>
      </c>
    </row>
    <row r="41" spans="1:10" x14ac:dyDescent="0.35">
      <c r="A41" s="30">
        <v>43950</v>
      </c>
      <c r="B41" s="16">
        <v>0.45833333333333331</v>
      </c>
      <c r="C41" s="17">
        <v>0.48958333333329801</v>
      </c>
      <c r="D41" s="18">
        <v>1</v>
      </c>
      <c r="E41" s="18">
        <f>INT(C41/D41/horaires!$K$3)</f>
        <v>1</v>
      </c>
      <c r="F41" s="16">
        <f>MOD(C41/D41/horaires!$K$3,1)*horaires!$K$3</f>
        <v>0.21874999999996461</v>
      </c>
      <c r="G41" s="16">
        <f>MAX(0,horaires!$I$3-B41-(horaires!$I$5-HLOOKUP(B41+horaires!$L$3,horaires!$B$3:$I$5,3,1)))</f>
        <v>0.17708333333333343</v>
      </c>
      <c r="H41" s="32">
        <f>horaires!$K$3-MAX(0,horaires!$I$3-B41-(horaires!$I$5-HLOOKUP(B41+horaires!$L$3,horaires!$B$3:$I$5,3,1)))</f>
        <v>9.375E-2</v>
      </c>
      <c r="I41" s="30">
        <f>WORKDAY(A41,E41+IF(F41&gt;G41,1,0),JF!C:C)</f>
        <v>43955</v>
      </c>
      <c r="J41" s="32">
        <f>HLOOKUP(MOD(F41+H41,horaires!$K$3)+horaires!$B$3-horaires!$L$3,horaires!$B$4:$I$5,2,1)+MOD(F41+H41,horaires!$K$3)+horaires!$B$3</f>
        <v>0.37499999999996447</v>
      </c>
    </row>
    <row r="42" spans="1:10" x14ac:dyDescent="0.35">
      <c r="A42" s="30">
        <v>43950</v>
      </c>
      <c r="B42" s="16">
        <v>0.45833333333333331</v>
      </c>
      <c r="C42" s="17">
        <v>0.49999999999996297</v>
      </c>
      <c r="D42" s="18">
        <v>1</v>
      </c>
      <c r="E42" s="18">
        <f>INT(C42/D42/horaires!$K$3)</f>
        <v>1</v>
      </c>
      <c r="F42" s="16">
        <f>MOD(C42/D42/horaires!$K$3,1)*horaires!$K$3</f>
        <v>0.22916666666662955</v>
      </c>
      <c r="G42" s="16">
        <f>MAX(0,horaires!$I$3-B42-(horaires!$I$5-HLOOKUP(B42+horaires!$L$3,horaires!$B$3:$I$5,3,1)))</f>
        <v>0.17708333333333343</v>
      </c>
      <c r="H42" s="32">
        <f>horaires!$K$3-MAX(0,horaires!$I$3-B42-(horaires!$I$5-HLOOKUP(B42+horaires!$L$3,horaires!$B$3:$I$5,3,1)))</f>
        <v>9.375E-2</v>
      </c>
      <c r="I42" s="30">
        <f>WORKDAY(A42,E42+IF(F42&gt;G42,1,0),JF!C:C)</f>
        <v>43955</v>
      </c>
      <c r="J42" s="32">
        <f>HLOOKUP(MOD(F42+H42,horaires!$K$3)+horaires!$B$3-horaires!$L$3,horaires!$B$4:$I$5,2,1)+MOD(F42+H42,horaires!$K$3)+horaires!$B$3</f>
        <v>0.38541666666662944</v>
      </c>
    </row>
    <row r="43" spans="1:10" x14ac:dyDescent="0.35">
      <c r="A43" s="30">
        <v>43950</v>
      </c>
      <c r="B43" s="16">
        <v>0.45833333333333331</v>
      </c>
      <c r="C43" s="17">
        <v>0.51041666666662799</v>
      </c>
      <c r="D43" s="18">
        <v>1</v>
      </c>
      <c r="E43" s="18">
        <f>INT(C43/D43/horaires!$K$3)</f>
        <v>1</v>
      </c>
      <c r="F43" s="16">
        <f>MOD(C43/D43/horaires!$K$3,1)*horaires!$K$3</f>
        <v>0.23958333333329457</v>
      </c>
      <c r="G43" s="16">
        <f>MAX(0,horaires!$I$3-B43-(horaires!$I$5-HLOOKUP(B43+horaires!$L$3,horaires!$B$3:$I$5,3,1)))</f>
        <v>0.17708333333333343</v>
      </c>
      <c r="H43" s="32">
        <f>horaires!$K$3-MAX(0,horaires!$I$3-B43-(horaires!$I$5-HLOOKUP(B43+horaires!$L$3,horaires!$B$3:$I$5,3,1)))</f>
        <v>9.375E-2</v>
      </c>
      <c r="I43" s="30">
        <f>WORKDAY(A43,E43+IF(F43&gt;G43,1,0),JF!C:C)</f>
        <v>43955</v>
      </c>
      <c r="J43" s="32">
        <f>HLOOKUP(MOD(F43+H43,horaires!$K$3)+horaires!$B$3-horaires!$L$3,horaires!$B$4:$I$5,2,1)+MOD(F43+H43,horaires!$K$3)+horaires!$B$3</f>
        <v>0.39583333333329446</v>
      </c>
    </row>
    <row r="44" spans="1:10" x14ac:dyDescent="0.35">
      <c r="A44" s="30">
        <v>43950</v>
      </c>
      <c r="B44" s="16">
        <v>0.45833333333333331</v>
      </c>
      <c r="C44" s="17">
        <v>0.52083333333329296</v>
      </c>
      <c r="D44" s="18">
        <v>1</v>
      </c>
      <c r="E44" s="18">
        <f>INT(C44/D44/horaires!$K$3)</f>
        <v>1</v>
      </c>
      <c r="F44" s="16">
        <f>MOD(C44/D44/horaires!$K$3,1)*horaires!$K$3</f>
        <v>0.2499999999999595</v>
      </c>
      <c r="G44" s="16">
        <f>MAX(0,horaires!$I$3-B44-(horaires!$I$5-HLOOKUP(B44+horaires!$L$3,horaires!$B$3:$I$5,3,1)))</f>
        <v>0.17708333333333343</v>
      </c>
      <c r="H44" s="32">
        <f>horaires!$K$3-MAX(0,horaires!$I$3-B44-(horaires!$I$5-HLOOKUP(B44+horaires!$L$3,horaires!$B$3:$I$5,3,1)))</f>
        <v>9.375E-2</v>
      </c>
      <c r="I44" s="30">
        <f>WORKDAY(A44,E44+IF(F44&gt;G44,1,0),JF!C:C)</f>
        <v>43955</v>
      </c>
      <c r="J44" s="32">
        <f>HLOOKUP(MOD(F44+H44,horaires!$K$3)+horaires!$B$3-horaires!$L$3,horaires!$B$4:$I$5,2,1)+MOD(F44+H44,horaires!$K$3)+horaires!$B$3</f>
        <v>0.40624999999995937</v>
      </c>
    </row>
    <row r="45" spans="1:10" x14ac:dyDescent="0.35">
      <c r="A45" s="30">
        <v>43950</v>
      </c>
      <c r="B45" s="16">
        <v>0.45833333333333331</v>
      </c>
      <c r="C45" s="17">
        <v>0.53124999999995803</v>
      </c>
      <c r="D45" s="18">
        <v>1</v>
      </c>
      <c r="E45" s="18">
        <f>INT(C45/D45/horaires!$K$3)</f>
        <v>1</v>
      </c>
      <c r="F45" s="16">
        <f>MOD(C45/D45/horaires!$K$3,1)*horaires!$K$3</f>
        <v>0.26041666666662466</v>
      </c>
      <c r="G45" s="16">
        <f>MAX(0,horaires!$I$3-B45-(horaires!$I$5-HLOOKUP(B45+horaires!$L$3,horaires!$B$3:$I$5,3,1)))</f>
        <v>0.17708333333333343</v>
      </c>
      <c r="H45" s="32">
        <f>horaires!$K$3-MAX(0,horaires!$I$3-B45-(horaires!$I$5-HLOOKUP(B45+horaires!$L$3,horaires!$B$3:$I$5,3,1)))</f>
        <v>9.375E-2</v>
      </c>
      <c r="I45" s="30">
        <f>WORKDAY(A45,E45+IF(F45&gt;G45,1,0),JF!C:C)</f>
        <v>43955</v>
      </c>
      <c r="J45" s="32">
        <f>HLOOKUP(MOD(F45+H45,horaires!$K$3)+horaires!$B$3-horaires!$L$3,horaires!$B$4:$I$5,2,1)+MOD(F45+H45,horaires!$K$3)+horaires!$B$3</f>
        <v>0.44791666666662455</v>
      </c>
    </row>
    <row r="46" spans="1:10" x14ac:dyDescent="0.35">
      <c r="A46" s="30">
        <v>43950</v>
      </c>
      <c r="B46" s="16">
        <v>0.45833333333333331</v>
      </c>
      <c r="C46" s="17">
        <v>0.541666666666624</v>
      </c>
      <c r="D46" s="18">
        <v>1</v>
      </c>
      <c r="E46" s="18">
        <f>INT(C46/D46/horaires!$K$3)</f>
        <v>1</v>
      </c>
      <c r="F46" s="16">
        <f>MOD(C46/D46/horaires!$K$3,1)*horaires!$K$3</f>
        <v>0.27083333333329057</v>
      </c>
      <c r="G46" s="16">
        <f>MAX(0,horaires!$I$3-B46-(horaires!$I$5-HLOOKUP(B46+horaires!$L$3,horaires!$B$3:$I$5,3,1)))</f>
        <v>0.17708333333333343</v>
      </c>
      <c r="H46" s="32">
        <f>horaires!$K$3-MAX(0,horaires!$I$3-B46-(horaires!$I$5-HLOOKUP(B46+horaires!$L$3,horaires!$B$3:$I$5,3,1)))</f>
        <v>9.375E-2</v>
      </c>
      <c r="I46" s="30">
        <f>WORKDAY(A46,E46+IF(F46&gt;G46,1,0),JF!C:C)</f>
        <v>43955</v>
      </c>
      <c r="J46" s="32">
        <f>HLOOKUP(MOD(F46+H46,horaires!$K$3)+horaires!$B$3-horaires!$L$3,horaires!$B$4:$I$5,2,1)+MOD(F46+H46,horaires!$K$3)+horaires!$B$3</f>
        <v>0.45833333333329046</v>
      </c>
    </row>
    <row r="47" spans="1:10" x14ac:dyDescent="0.35">
      <c r="A47" s="30">
        <v>43950</v>
      </c>
      <c r="B47" s="16">
        <v>0.45833333333333331</v>
      </c>
      <c r="C47" s="17">
        <v>0.55208333333328896</v>
      </c>
      <c r="D47" s="18">
        <v>1</v>
      </c>
      <c r="E47" s="18">
        <f>INT(C47/D47/horaires!$K$3)</f>
        <v>2</v>
      </c>
      <c r="F47" s="16">
        <f>MOD(C47/D47/horaires!$K$3,1)*horaires!$K$3</f>
        <v>1.0416666666622132E-2</v>
      </c>
      <c r="G47" s="16">
        <f>MAX(0,horaires!$I$3-B47-(horaires!$I$5-HLOOKUP(B47+horaires!$L$3,horaires!$B$3:$I$5,3,1)))</f>
        <v>0.17708333333333343</v>
      </c>
      <c r="H47" s="32">
        <f>horaires!$K$3-MAX(0,horaires!$I$3-B47-(horaires!$I$5-HLOOKUP(B47+horaires!$L$3,horaires!$B$3:$I$5,3,1)))</f>
        <v>9.375E-2</v>
      </c>
      <c r="I47" s="30">
        <f>WORKDAY(A47,E47+IF(F47&gt;G47,1,0),JF!C:C)</f>
        <v>43955</v>
      </c>
      <c r="J47" s="32">
        <f>HLOOKUP(MOD(F47+H47,horaires!$K$3)+horaires!$B$3-horaires!$L$3,horaires!$B$4:$I$5,2,1)+MOD(F47+H47,horaires!$K$3)+horaires!$B$3</f>
        <v>0.46874999999995548</v>
      </c>
    </row>
    <row r="48" spans="1:10" x14ac:dyDescent="0.35">
      <c r="A48" s="30">
        <v>43950</v>
      </c>
      <c r="B48" s="16">
        <v>0.45833333333333331</v>
      </c>
      <c r="C48" s="17">
        <v>0.56249999999995404</v>
      </c>
      <c r="D48" s="18">
        <v>1</v>
      </c>
      <c r="E48" s="18">
        <f>INT(C48/D48/horaires!$K$3)</f>
        <v>2</v>
      </c>
      <c r="F48" s="16">
        <f>MOD(C48/D48/horaires!$K$3,1)*horaires!$K$3</f>
        <v>2.0833333333287202E-2</v>
      </c>
      <c r="G48" s="16">
        <f>MAX(0,horaires!$I$3-B48-(horaires!$I$5-HLOOKUP(B48+horaires!$L$3,horaires!$B$3:$I$5,3,1)))</f>
        <v>0.17708333333333343</v>
      </c>
      <c r="H48" s="32">
        <f>horaires!$K$3-MAX(0,horaires!$I$3-B48-(horaires!$I$5-HLOOKUP(B48+horaires!$L$3,horaires!$B$3:$I$5,3,1)))</f>
        <v>9.375E-2</v>
      </c>
      <c r="I48" s="30">
        <f>WORKDAY(A48,E48+IF(F48&gt;G48,1,0),JF!C:C)</f>
        <v>43955</v>
      </c>
      <c r="J48" s="32">
        <f>HLOOKUP(MOD(F48+H48,horaires!$K$3)+horaires!$B$3-horaires!$L$3,horaires!$B$4:$I$5,2,1)+MOD(F48+H48,horaires!$K$3)+horaires!$B$3</f>
        <v>0.4791666666666205</v>
      </c>
    </row>
    <row r="49" spans="1:10" x14ac:dyDescent="0.35">
      <c r="A49" s="30">
        <v>43950</v>
      </c>
      <c r="B49" s="16">
        <v>0.45833333333333331</v>
      </c>
      <c r="C49" s="17">
        <v>0.572916666666619</v>
      </c>
      <c r="D49" s="18">
        <v>1</v>
      </c>
      <c r="E49" s="18">
        <f>INT(C49/D49/horaires!$K$3)</f>
        <v>2</v>
      </c>
      <c r="F49" s="16">
        <f>MOD(C49/D49/horaires!$K$3,1)*horaires!$K$3</f>
        <v>3.1249999999952149E-2</v>
      </c>
      <c r="G49" s="16">
        <f>MAX(0,horaires!$I$3-B49-(horaires!$I$5-HLOOKUP(B49+horaires!$L$3,horaires!$B$3:$I$5,3,1)))</f>
        <v>0.17708333333333343</v>
      </c>
      <c r="H49" s="32">
        <f>horaires!$K$3-MAX(0,horaires!$I$3-B49-(horaires!$I$5-HLOOKUP(B49+horaires!$L$3,horaires!$B$3:$I$5,3,1)))</f>
        <v>9.375E-2</v>
      </c>
      <c r="I49" s="30">
        <f>WORKDAY(A49,E49+IF(F49&gt;G49,1,0),JF!C:C)</f>
        <v>43955</v>
      </c>
      <c r="J49" s="32">
        <f>HLOOKUP(MOD(F49+H49,horaires!$K$3)+horaires!$B$3-horaires!$L$3,horaires!$B$4:$I$5,2,1)+MOD(F49+H49,horaires!$K$3)+horaires!$B$3</f>
        <v>0.48958333333328546</v>
      </c>
    </row>
    <row r="50" spans="1:10" x14ac:dyDescent="0.35">
      <c r="A50" s="30">
        <v>43950</v>
      </c>
      <c r="B50" s="16">
        <v>0.45833333333333331</v>
      </c>
      <c r="C50" s="17">
        <v>0.58333333333328397</v>
      </c>
      <c r="D50" s="18">
        <v>1</v>
      </c>
      <c r="E50" s="18">
        <f>INT(C50/D50/horaires!$K$3)</f>
        <v>2</v>
      </c>
      <c r="F50" s="16">
        <f>MOD(C50/D50/horaires!$K$3,1)*horaires!$K$3</f>
        <v>4.16666666666171E-2</v>
      </c>
      <c r="G50" s="16">
        <f>MAX(0,horaires!$I$3-B50-(horaires!$I$5-HLOOKUP(B50+horaires!$L$3,horaires!$B$3:$I$5,3,1)))</f>
        <v>0.17708333333333343</v>
      </c>
      <c r="H50" s="32">
        <f>horaires!$K$3-MAX(0,horaires!$I$3-B50-(horaires!$I$5-HLOOKUP(B50+horaires!$L$3,horaires!$B$3:$I$5,3,1)))</f>
        <v>9.375E-2</v>
      </c>
      <c r="I50" s="30">
        <f>WORKDAY(A50,E50+IF(F50&gt;G50,1,0),JF!C:C)</f>
        <v>43955</v>
      </c>
      <c r="J50" s="32">
        <f>HLOOKUP(MOD(F50+H50,horaires!$K$3)+horaires!$B$3-horaires!$L$3,horaires!$B$4:$I$5,2,1)+MOD(F50+H50,horaires!$K$3)+horaires!$B$3</f>
        <v>0.49999999999995043</v>
      </c>
    </row>
    <row r="51" spans="1:10" x14ac:dyDescent="0.35">
      <c r="A51" s="30">
        <v>43950</v>
      </c>
      <c r="B51" s="16">
        <v>0.45833333333333331</v>
      </c>
      <c r="C51" s="17">
        <v>0.59374999999994904</v>
      </c>
      <c r="D51" s="18">
        <v>1</v>
      </c>
      <c r="E51" s="18">
        <f>INT(C51/D51/horaires!$K$3)</f>
        <v>2</v>
      </c>
      <c r="F51" s="16">
        <f>MOD(C51/D51/horaires!$K$3,1)*horaires!$K$3</f>
        <v>5.2083333333282168E-2</v>
      </c>
      <c r="G51" s="16">
        <f>MAX(0,horaires!$I$3-B51-(horaires!$I$5-HLOOKUP(B51+horaires!$L$3,horaires!$B$3:$I$5,3,1)))</f>
        <v>0.17708333333333343</v>
      </c>
      <c r="H51" s="32">
        <f>horaires!$K$3-MAX(0,horaires!$I$3-B51-(horaires!$I$5-HLOOKUP(B51+horaires!$L$3,horaires!$B$3:$I$5,3,1)))</f>
        <v>9.375E-2</v>
      </c>
      <c r="I51" s="30">
        <f>WORKDAY(A51,E51+IF(F51&gt;G51,1,0),JF!C:C)</f>
        <v>43955</v>
      </c>
      <c r="J51" s="32">
        <f>HLOOKUP(MOD(F51+H51,horaires!$K$3)+horaires!$B$3-horaires!$L$3,horaires!$B$4:$I$5,2,1)+MOD(F51+H51,horaires!$K$3)+horaires!$B$3</f>
        <v>0.55208333333328208</v>
      </c>
    </row>
    <row r="52" spans="1:10" x14ac:dyDescent="0.35">
      <c r="A52" s="30">
        <v>43950</v>
      </c>
      <c r="B52" s="16">
        <v>0.45833333333333331</v>
      </c>
      <c r="C52" s="17">
        <v>0.60416666666661401</v>
      </c>
      <c r="D52" s="18">
        <v>1</v>
      </c>
      <c r="E52" s="18">
        <f>INT(C52/D52/horaires!$K$3)</f>
        <v>2</v>
      </c>
      <c r="F52" s="16">
        <f>MOD(C52/D52/horaires!$K$3,1)*horaires!$K$3</f>
        <v>6.2499999999947119E-2</v>
      </c>
      <c r="G52" s="16">
        <f>MAX(0,horaires!$I$3-B52-(horaires!$I$5-HLOOKUP(B52+horaires!$L$3,horaires!$B$3:$I$5,3,1)))</f>
        <v>0.17708333333333343</v>
      </c>
      <c r="H52" s="32">
        <f>horaires!$K$3-MAX(0,horaires!$I$3-B52-(horaires!$I$5-HLOOKUP(B52+horaires!$L$3,horaires!$B$3:$I$5,3,1)))</f>
        <v>9.375E-2</v>
      </c>
      <c r="I52" s="30">
        <f>WORKDAY(A52,E52+IF(F52&gt;G52,1,0),JF!C:C)</f>
        <v>43955</v>
      </c>
      <c r="J52" s="32">
        <f>HLOOKUP(MOD(F52+H52,horaires!$K$3)+horaires!$B$3-horaires!$L$3,horaires!$B$4:$I$5,2,1)+MOD(F52+H52,horaires!$K$3)+horaires!$B$3</f>
        <v>0.56249999999994704</v>
      </c>
    </row>
    <row r="53" spans="1:10" x14ac:dyDescent="0.35">
      <c r="A53" s="30">
        <v>43950</v>
      </c>
      <c r="B53" s="16">
        <v>0.45833333333333331</v>
      </c>
      <c r="C53" s="17">
        <v>0.61458333333327897</v>
      </c>
      <c r="D53" s="18">
        <v>1</v>
      </c>
      <c r="E53" s="18">
        <f>INT(C53/D53/horaires!$K$3)</f>
        <v>2</v>
      </c>
      <c r="F53" s="16">
        <f>MOD(C53/D53/horaires!$K$3,1)*horaires!$K$3</f>
        <v>7.2916666666612062E-2</v>
      </c>
      <c r="G53" s="16">
        <f>MAX(0,horaires!$I$3-B53-(horaires!$I$5-HLOOKUP(B53+horaires!$L$3,horaires!$B$3:$I$5,3,1)))</f>
        <v>0.17708333333333343</v>
      </c>
      <c r="H53" s="32">
        <f>horaires!$K$3-MAX(0,horaires!$I$3-B53-(horaires!$I$5-HLOOKUP(B53+horaires!$L$3,horaires!$B$3:$I$5,3,1)))</f>
        <v>9.375E-2</v>
      </c>
      <c r="I53" s="30">
        <f>WORKDAY(A53,E53+IF(F53&gt;G53,1,0),JF!C:C)</f>
        <v>43955</v>
      </c>
      <c r="J53" s="32">
        <f>HLOOKUP(MOD(F53+H53,horaires!$K$3)+horaires!$B$3-horaires!$L$3,horaires!$B$4:$I$5,2,1)+MOD(F53+H53,horaires!$K$3)+horaires!$B$3</f>
        <v>0.57291666666661201</v>
      </c>
    </row>
    <row r="54" spans="1:10" x14ac:dyDescent="0.35">
      <c r="A54" s="30">
        <v>43950</v>
      </c>
      <c r="B54" s="16">
        <v>0.45833333333333331</v>
      </c>
      <c r="C54" s="17">
        <v>0.62499999999994404</v>
      </c>
      <c r="D54" s="18">
        <v>1</v>
      </c>
      <c r="E54" s="18">
        <f>INT(C54/D54/horaires!$K$3)</f>
        <v>2</v>
      </c>
      <c r="F54" s="16">
        <f>MOD(C54/D54/horaires!$K$3,1)*horaires!$K$3</f>
        <v>8.3333333333277138E-2</v>
      </c>
      <c r="G54" s="16">
        <f>MAX(0,horaires!$I$3-B54-(horaires!$I$5-HLOOKUP(B54+horaires!$L$3,horaires!$B$3:$I$5,3,1)))</f>
        <v>0.17708333333333343</v>
      </c>
      <c r="H54" s="32">
        <f>horaires!$K$3-MAX(0,horaires!$I$3-B54-(horaires!$I$5-HLOOKUP(B54+horaires!$L$3,horaires!$B$3:$I$5,3,1)))</f>
        <v>9.375E-2</v>
      </c>
      <c r="I54" s="30">
        <f>WORKDAY(A54,E54+IF(F54&gt;G54,1,0),JF!C:C)</f>
        <v>43955</v>
      </c>
      <c r="J54" s="32">
        <f>HLOOKUP(MOD(F54+H54,horaires!$K$3)+horaires!$B$3-horaires!$L$3,horaires!$B$4:$I$5,2,1)+MOD(F54+H54,horaires!$K$3)+horaires!$B$3</f>
        <v>0.58333333333327708</v>
      </c>
    </row>
    <row r="55" spans="1:10" x14ac:dyDescent="0.35">
      <c r="A55" s="30">
        <v>43950</v>
      </c>
      <c r="B55" s="16">
        <v>0.45833333333333331</v>
      </c>
      <c r="C55" s="17">
        <v>0.63541666666660901</v>
      </c>
      <c r="D55" s="18">
        <v>1</v>
      </c>
      <c r="E55" s="18">
        <f>INT(C55/D55/horaires!$K$3)</f>
        <v>2</v>
      </c>
      <c r="F55" s="16">
        <f>MOD(C55/D55/horaires!$K$3,1)*horaires!$K$3</f>
        <v>9.3749999999942213E-2</v>
      </c>
      <c r="G55" s="16">
        <f>MAX(0,horaires!$I$3-B55-(horaires!$I$5-HLOOKUP(B55+horaires!$L$3,horaires!$B$3:$I$5,3,1)))</f>
        <v>0.17708333333333343</v>
      </c>
      <c r="H55" s="32">
        <f>horaires!$K$3-MAX(0,horaires!$I$3-B55-(horaires!$I$5-HLOOKUP(B55+horaires!$L$3,horaires!$B$3:$I$5,3,1)))</f>
        <v>9.375E-2</v>
      </c>
      <c r="I55" s="30">
        <f>WORKDAY(A55,E55+IF(F55&gt;G55,1,0),JF!C:C)</f>
        <v>43955</v>
      </c>
      <c r="J55" s="32">
        <f>HLOOKUP(MOD(F55+H55,horaires!$K$3)+horaires!$B$3-horaires!$L$3,horaires!$B$4:$I$5,2,1)+MOD(F55+H55,horaires!$K$3)+horaires!$B$3</f>
        <v>0.59374999999994216</v>
      </c>
    </row>
    <row r="56" spans="1:10" x14ac:dyDescent="0.35">
      <c r="A56" s="30">
        <v>43950</v>
      </c>
      <c r="B56" s="16">
        <v>0.45833333333333331</v>
      </c>
      <c r="C56" s="17">
        <v>0.64583333333327397</v>
      </c>
      <c r="D56" s="18">
        <v>1</v>
      </c>
      <c r="E56" s="18">
        <f>INT(C56/D56/horaires!$K$3)</f>
        <v>2</v>
      </c>
      <c r="F56" s="16">
        <f>MOD(C56/D56/horaires!$K$3,1)*horaires!$K$3</f>
        <v>0.10416666666660716</v>
      </c>
      <c r="G56" s="16">
        <f>MAX(0,horaires!$I$3-B56-(horaires!$I$5-HLOOKUP(B56+horaires!$L$3,horaires!$B$3:$I$5,3,1)))</f>
        <v>0.17708333333333343</v>
      </c>
      <c r="H56" s="32">
        <f>horaires!$K$3-MAX(0,horaires!$I$3-B56-(horaires!$I$5-HLOOKUP(B56+horaires!$L$3,horaires!$B$3:$I$5,3,1)))</f>
        <v>9.375E-2</v>
      </c>
      <c r="I56" s="30">
        <f>WORKDAY(A56,E56+IF(F56&gt;G56,1,0),JF!C:C)</f>
        <v>43955</v>
      </c>
      <c r="J56" s="32">
        <f>HLOOKUP(MOD(F56+H56,horaires!$K$3)+horaires!$B$3-horaires!$L$3,horaires!$B$4:$I$5,2,1)+MOD(F56+H56,horaires!$K$3)+horaires!$B$3</f>
        <v>0.60416666666660712</v>
      </c>
    </row>
    <row r="57" spans="1:10" x14ac:dyDescent="0.35">
      <c r="A57" s="30">
        <v>43950</v>
      </c>
      <c r="B57" s="16">
        <v>0.45833333333333331</v>
      </c>
      <c r="C57" s="17">
        <v>0.65624999999993905</v>
      </c>
      <c r="D57" s="18">
        <v>1</v>
      </c>
      <c r="E57" s="18">
        <f>INT(C57/D57/horaires!$K$3)</f>
        <v>2</v>
      </c>
      <c r="F57" s="16">
        <f>MOD(C57/D57/horaires!$K$3,1)*horaires!$K$3</f>
        <v>0.11458333333327222</v>
      </c>
      <c r="G57" s="16">
        <f>MAX(0,horaires!$I$3-B57-(horaires!$I$5-HLOOKUP(B57+horaires!$L$3,horaires!$B$3:$I$5,3,1)))</f>
        <v>0.17708333333333343</v>
      </c>
      <c r="H57" s="32">
        <f>horaires!$K$3-MAX(0,horaires!$I$3-B57-(horaires!$I$5-HLOOKUP(B57+horaires!$L$3,horaires!$B$3:$I$5,3,1)))</f>
        <v>9.375E-2</v>
      </c>
      <c r="I57" s="30">
        <f>WORKDAY(A57,E57+IF(F57&gt;G57,1,0),JF!C:C)</f>
        <v>43955</v>
      </c>
      <c r="J57" s="32">
        <f>HLOOKUP(MOD(F57+H57,horaires!$K$3)+horaires!$B$3-horaires!$L$3,horaires!$B$4:$I$5,2,1)+MOD(F57+H57,horaires!$K$3)+horaires!$B$3</f>
        <v>0.6145833333332722</v>
      </c>
    </row>
    <row r="58" spans="1:10" x14ac:dyDescent="0.35">
      <c r="A58" s="30">
        <v>43950</v>
      </c>
      <c r="B58" s="16">
        <v>0.45833333333333331</v>
      </c>
      <c r="C58" s="17">
        <v>0.66666666666660401</v>
      </c>
      <c r="D58" s="18">
        <v>1</v>
      </c>
      <c r="E58" s="18">
        <f>INT(C58/D58/horaires!$K$3)</f>
        <v>2</v>
      </c>
      <c r="F58" s="16">
        <f>MOD(C58/D58/horaires!$K$3,1)*horaires!$K$3</f>
        <v>0.12499999999993718</v>
      </c>
      <c r="G58" s="16">
        <f>MAX(0,horaires!$I$3-B58-(horaires!$I$5-HLOOKUP(B58+horaires!$L$3,horaires!$B$3:$I$5,3,1)))</f>
        <v>0.17708333333333343</v>
      </c>
      <c r="H58" s="32">
        <f>horaires!$K$3-MAX(0,horaires!$I$3-B58-(horaires!$I$5-HLOOKUP(B58+horaires!$L$3,horaires!$B$3:$I$5,3,1)))</f>
        <v>9.375E-2</v>
      </c>
      <c r="I58" s="30">
        <f>WORKDAY(A58,E58+IF(F58&gt;G58,1,0),JF!C:C)</f>
        <v>43955</v>
      </c>
      <c r="J58" s="32">
        <f>HLOOKUP(MOD(F58+H58,horaires!$K$3)+horaires!$B$3-horaires!$L$3,horaires!$B$4:$I$5,2,1)+MOD(F58+H58,horaires!$K$3)+horaires!$B$3</f>
        <v>0.65624999999993716</v>
      </c>
    </row>
    <row r="59" spans="1:10" x14ac:dyDescent="0.35">
      <c r="A59" s="30">
        <v>43950</v>
      </c>
      <c r="B59" s="16">
        <v>0.45833333333333331</v>
      </c>
      <c r="C59" s="17">
        <v>0.67708333333326898</v>
      </c>
      <c r="D59" s="18">
        <v>1</v>
      </c>
      <c r="E59" s="18">
        <f>INT(C59/D59/horaires!$K$3)</f>
        <v>2</v>
      </c>
      <c r="F59" s="16">
        <f>MOD(C59/D59/horaires!$K$3,1)*horaires!$K$3</f>
        <v>0.13541666666660213</v>
      </c>
      <c r="G59" s="16">
        <f>MAX(0,horaires!$I$3-B59-(horaires!$I$5-HLOOKUP(B59+horaires!$L$3,horaires!$B$3:$I$5,3,1)))</f>
        <v>0.17708333333333343</v>
      </c>
      <c r="H59" s="32">
        <f>horaires!$K$3-MAX(0,horaires!$I$3-B59-(horaires!$I$5-HLOOKUP(B59+horaires!$L$3,horaires!$B$3:$I$5,3,1)))</f>
        <v>9.375E-2</v>
      </c>
      <c r="I59" s="30">
        <f>WORKDAY(A59,E59+IF(F59&gt;G59,1,0),JF!C:C)</f>
        <v>43955</v>
      </c>
      <c r="J59" s="32">
        <f>HLOOKUP(MOD(F59+H59,horaires!$K$3)+horaires!$B$3-horaires!$L$3,horaires!$B$4:$I$5,2,1)+MOD(F59+H59,horaires!$K$3)+horaires!$B$3</f>
        <v>0.66666666666660213</v>
      </c>
    </row>
    <row r="60" spans="1:10" x14ac:dyDescent="0.35">
      <c r="A60" s="30">
        <v>43950</v>
      </c>
      <c r="B60" s="16">
        <v>0.45833333333333331</v>
      </c>
      <c r="C60" s="17">
        <v>0.68749999999993405</v>
      </c>
      <c r="D60" s="18">
        <v>1</v>
      </c>
      <c r="E60" s="18">
        <f>INT(C60/D60/horaires!$K$3)</f>
        <v>2</v>
      </c>
      <c r="F60" s="16">
        <f>MOD(C60/D60/horaires!$K$3,1)*horaires!$K$3</f>
        <v>0.1458333333332672</v>
      </c>
      <c r="G60" s="16">
        <f>MAX(0,horaires!$I$3-B60-(horaires!$I$5-HLOOKUP(B60+horaires!$L$3,horaires!$B$3:$I$5,3,1)))</f>
        <v>0.17708333333333343</v>
      </c>
      <c r="H60" s="32">
        <f>horaires!$K$3-MAX(0,horaires!$I$3-B60-(horaires!$I$5-HLOOKUP(B60+horaires!$L$3,horaires!$B$3:$I$5,3,1)))</f>
        <v>9.375E-2</v>
      </c>
      <c r="I60" s="30">
        <f>WORKDAY(A60,E60+IF(F60&gt;G60,1,0),JF!C:C)</f>
        <v>43955</v>
      </c>
      <c r="J60" s="32">
        <f>HLOOKUP(MOD(F60+H60,horaires!$K$3)+horaires!$B$3-horaires!$L$3,horaires!$B$4:$I$5,2,1)+MOD(F60+H60,horaires!$K$3)+horaires!$B$3</f>
        <v>0.67708333333326709</v>
      </c>
    </row>
    <row r="61" spans="1:10" x14ac:dyDescent="0.35">
      <c r="A61" s="30">
        <v>43950</v>
      </c>
      <c r="B61" s="16">
        <v>0.45833333333333331</v>
      </c>
      <c r="C61" s="17">
        <v>0.69791666666659902</v>
      </c>
      <c r="D61" s="18">
        <v>1</v>
      </c>
      <c r="E61" s="18">
        <f>INT(C61/D61/horaires!$K$3)</f>
        <v>2</v>
      </c>
      <c r="F61" s="16">
        <f>MOD(C61/D61/horaires!$K$3,1)*horaires!$K$3</f>
        <v>0.15624999999993214</v>
      </c>
      <c r="G61" s="16">
        <f>MAX(0,horaires!$I$3-B61-(horaires!$I$5-HLOOKUP(B61+horaires!$L$3,horaires!$B$3:$I$5,3,1)))</f>
        <v>0.17708333333333343</v>
      </c>
      <c r="H61" s="32">
        <f>horaires!$K$3-MAX(0,horaires!$I$3-B61-(horaires!$I$5-HLOOKUP(B61+horaires!$L$3,horaires!$B$3:$I$5,3,1)))</f>
        <v>9.375E-2</v>
      </c>
      <c r="I61" s="30">
        <f>WORKDAY(A61,E61+IF(F61&gt;G61,1,0),JF!C:C)</f>
        <v>43955</v>
      </c>
      <c r="J61" s="32">
        <f>HLOOKUP(MOD(F61+H61,horaires!$K$3)+horaires!$B$3-horaires!$L$3,horaires!$B$4:$I$5,2,1)+MOD(F61+H61,horaires!$K$3)+horaires!$B$3</f>
        <v>0.68749999999993205</v>
      </c>
    </row>
    <row r="66" spans="2:9" x14ac:dyDescent="0.35">
      <c r="I66"/>
    </row>
    <row r="67" spans="2:9" x14ac:dyDescent="0.35">
      <c r="B67" s="31"/>
      <c r="C67" s="31"/>
      <c r="D67" s="31"/>
      <c r="E67" s="31"/>
      <c r="F67" s="31"/>
      <c r="G67" s="31"/>
      <c r="H67" s="3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horaires</vt:lpstr>
      <vt:lpstr>JF</vt:lpstr>
      <vt:lpstr>calcul détaillé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2020-03-09T04:52:25Z</dcterms:modified>
</cp:coreProperties>
</file>