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160"/>
  </bookViews>
  <sheets>
    <sheet name="achats ventes" sheetId="2" r:id="rId1"/>
    <sheet name="situation du portefeuille" sheetId="3" r:id="rId2"/>
    <sheet name="cours bourse" sheetId="1" r:id="rId3"/>
  </sheets>
  <functionGroups builtInGroupCount="18"/>
  <calcPr calcId="152511"/>
</workbook>
</file>

<file path=xl/calcChain.xml><?xml version="1.0" encoding="utf-8"?>
<calcChain xmlns="http://schemas.openxmlformats.org/spreadsheetml/2006/main">
  <c r="D2" i="3" l="1"/>
  <c r="D3" i="3"/>
  <c r="E3" i="3" s="1"/>
  <c r="D4" i="3"/>
  <c r="E4" i="3" s="1"/>
  <c r="D5" i="3"/>
  <c r="E5" i="3" s="1"/>
  <c r="D6" i="3"/>
  <c r="D7" i="3"/>
  <c r="E7" i="3" s="1"/>
  <c r="D8" i="3"/>
  <c r="E8" i="3" s="1"/>
  <c r="D9" i="3"/>
  <c r="E9" i="3" s="1"/>
  <c r="D10" i="3"/>
  <c r="D11" i="3"/>
  <c r="D12" i="3"/>
  <c r="E12" i="3" s="1"/>
  <c r="E2" i="3"/>
  <c r="E6" i="3"/>
  <c r="E10" i="3"/>
  <c r="E11" i="3"/>
  <c r="F11" i="3" s="1"/>
  <c r="C2" i="3"/>
  <c r="C3" i="3"/>
  <c r="C4" i="3"/>
  <c r="C5" i="3"/>
  <c r="C6" i="3"/>
  <c r="C7" i="3"/>
  <c r="C8" i="3"/>
  <c r="C9" i="3"/>
  <c r="C10" i="3"/>
  <c r="C11" i="3"/>
  <c r="C12" i="3"/>
  <c r="B2" i="3"/>
  <c r="B3" i="3"/>
  <c r="B4" i="3"/>
  <c r="B5" i="3"/>
  <c r="B6" i="3"/>
  <c r="B7" i="3"/>
  <c r="B8" i="3"/>
  <c r="B9" i="3"/>
  <c r="B10" i="3"/>
  <c r="B11" i="3"/>
  <c r="B12" i="3"/>
  <c r="F2" i="2"/>
  <c r="F3" i="2"/>
  <c r="F4" i="2"/>
  <c r="F5" i="2"/>
  <c r="F6" i="2"/>
  <c r="F7" i="2"/>
  <c r="C2" i="2"/>
  <c r="C3" i="2"/>
  <c r="C4" i="2"/>
  <c r="C5" i="2"/>
  <c r="C6" i="2"/>
  <c r="C7" i="2"/>
  <c r="F12" i="3" l="1"/>
  <c r="F8" i="3"/>
  <c r="F4" i="3"/>
  <c r="E13" i="3"/>
  <c r="F10" i="3"/>
  <c r="F7" i="3"/>
  <c r="F3" i="3"/>
  <c r="C13" i="3"/>
  <c r="F6" i="3"/>
  <c r="F2" i="3"/>
  <c r="F9" i="3"/>
  <c r="F5" i="3"/>
  <c r="F8" i="2"/>
  <c r="F13" i="3" l="1"/>
</calcChain>
</file>

<file path=xl/sharedStrings.xml><?xml version="1.0" encoding="utf-8"?>
<sst xmlns="http://schemas.openxmlformats.org/spreadsheetml/2006/main" count="68" uniqueCount="50">
  <si>
    <t>ISIN</t>
  </si>
  <si>
    <t>libelles</t>
  </si>
  <si>
    <t>cours</t>
  </si>
  <si>
    <t>FR0000120404</t>
  </si>
  <si>
    <t>accord</t>
  </si>
  <si>
    <t>DE000A1EWWW0</t>
  </si>
  <si>
    <t>Adidas</t>
  </si>
  <si>
    <t>FR0007024393</t>
  </si>
  <si>
    <t xml:space="preserve">Afer Actions Euro A A/I </t>
  </si>
  <si>
    <t>FR0010094839</t>
  </si>
  <si>
    <t>Afer Action Monde</t>
  </si>
  <si>
    <t>FR0000299364</t>
  </si>
  <si>
    <t xml:space="preserve">Afer-Sfer A/I </t>
  </si>
  <si>
    <t>FR0000283749</t>
  </si>
  <si>
    <t xml:space="preserve">AGIPI Actions Monde </t>
  </si>
  <si>
    <t>FR0000299240</t>
  </si>
  <si>
    <t xml:space="preserve">Agipi Ambition </t>
  </si>
  <si>
    <t>FR0000120073</t>
  </si>
  <si>
    <t>Air Liquide</t>
  </si>
  <si>
    <t>NL0000235190</t>
  </si>
  <si>
    <t>AIRBUS GROUP</t>
  </si>
  <si>
    <t>FR0000945503</t>
  </si>
  <si>
    <t>Allianz Foncier C/D</t>
  </si>
  <si>
    <t>LU0552028184</t>
  </si>
  <si>
    <t>Amundi Emg Mark Eqt</t>
  </si>
  <si>
    <t>https://www.boursorama.com/cours/1rPAC/</t>
  </si>
  <si>
    <t>https://www.boursorama.com/cours/1zADS/</t>
  </si>
  <si>
    <t>https://www.boursorama.com/bourse/opcvm/cours/MP-803278/</t>
  </si>
  <si>
    <t>https://www.boursorama.com/bourse/opcvm/cours/MP-806311/</t>
  </si>
  <si>
    <t>https://www.boursorama.com/bourse/opcvm/cours/MP-829936/</t>
  </si>
  <si>
    <t>https://www.boursorama.com/bourse/opcvm/cours/MP-804816/</t>
  </si>
  <si>
    <t>https://www.boursorama.com/bourse/opcvm/cours/MP-804817/</t>
  </si>
  <si>
    <t>https://www.boursorama.com/cours/1rPAI/</t>
  </si>
  <si>
    <t>https://www.boursorama.com/cours/1rPAIR/</t>
  </si>
  <si>
    <t>https://www.boursorama.com/bourse/opcvm/cours/MP-829263/</t>
  </si>
  <si>
    <t>https://www.boursorama.com/bourse/opcvm/cours/0P0000SBZ5/</t>
  </si>
  <si>
    <t>www</t>
  </si>
  <si>
    <t>Code</t>
  </si>
  <si>
    <t>Date</t>
  </si>
  <si>
    <t>Qté achetée/vendue</t>
  </si>
  <si>
    <t>Libellé</t>
  </si>
  <si>
    <t>Total</t>
  </si>
  <si>
    <t>code</t>
  </si>
  <si>
    <t>libellé</t>
  </si>
  <si>
    <t>Cours achetée/vendue</t>
  </si>
  <si>
    <t>Valeur transaction</t>
  </si>
  <si>
    <t>investissement</t>
  </si>
  <si>
    <t>rendement</t>
  </si>
  <si>
    <t>valeur actualisée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</si>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</sst>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scheme val="minor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18" fillId="0" borderId="0" xfId="42" applyBorder="1"/>
    <xf numFmtId="0" fontId="18" fillId="0" borderId="0" xfId="42"/>
    <xf numFmtId="14" fontId="0" fillId="0" borderId="0" xfId="0" applyNumberFormat="1"/>
    <xf numFmtId="0" fontId="0" fillId="0" borderId="0" xfId="0" applyFont="1" applyBorder="1"/>
    <xf numFmtId="0" fontId="0" fillId="0" borderId="0" xfId="0" applyBorder="1"/>
    <xf numFmtId="0" fontId="19" fillId="0" borderId="0" xfId="0" applyFont="1"/>
    <xf numFmtId="44" fontId="0" fillId="0" borderId="0" xfId="43" applyFont="1" applyBorder="1"/>
    <xf numFmtId="44" fontId="0" fillId="0" borderId="0" xfId="43" applyFont="1"/>
    <xf numFmtId="44" fontId="19" fillId="0" borderId="0" xfId="0" applyNumberFormat="1" applyFont="1"/>
    <xf numFmtId="10" fontId="0" fillId="0" borderId="0" xfId="44" applyNumberFormat="1" applyFont="1" applyBorder="1"/>
    <xf numFmtId="10" fontId="0" fillId="0" borderId="0" xfId="44" applyNumberFormat="1" applyFont="1"/>
    <xf numFmtId="0" fontId="20" fillId="0" borderId="0" xfId="0" applyFont="1"/>
    <xf numFmtId="44" fontId="20" fillId="0" borderId="0" xfId="43" applyFont="1"/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Monétaire" xfId="43" builtinId="4"/>
    <cellStyle name="Neutre" xfId="8" builtinId="28" customBuiltin="1"/>
    <cellStyle name="Normal" xfId="0" builtinId="0"/>
    <cellStyle name="Pourcentage" xfId="44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font>
        <i/>
      </font>
    </dxf>
    <dxf>
      <font>
        <i/>
      </font>
    </dxf>
    <dxf>
      <font>
        <i/>
      </font>
    </dxf>
    <dxf>
      <font>
        <i/>
      </font>
      <numFmt numFmtId="0" formatCode="General"/>
    </dxf>
    <dxf>
      <numFmt numFmtId="14" formatCode="0.00%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444500</xdr:colOff>
      <xdr:row>1</xdr:row>
      <xdr:rowOff>0</xdr:rowOff>
    </xdr:from>
    <xdr:ext cx="1129427" cy="292704"/>
    <xdr:sp macro="[0]!interroger" textlink="">
      <xdr:nvSpPr>
        <xdr:cNvPr id="2" name="Rectangle à coins arrondis 1"/>
        <xdr:cNvSpPr/>
      </xdr:nvSpPr>
      <xdr:spPr>
        <a:xfrm>
          <a:off x="8820150" y="184150"/>
          <a:ext cx="1129427" cy="292704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METTRE A JOUR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F8" totalsRowCount="1">
  <autoFilter ref="A1:F7"/>
  <sortState ref="A2:E7">
    <sortCondition ref="A3"/>
  </sortState>
  <tableColumns count="6">
    <tableColumn id="1" name="Date" totalsRowLabel="Total" dataDxfId="12"/>
    <tableColumn id="2" name="Code"/>
    <tableColumn id="3" name="Libellé" dataDxfId="3" totalsRowDxfId="2">
      <calculatedColumnFormula>VLOOKUP(Tableau1[[#This Row],[Code]],Tableau2[],2,0)</calculatedColumnFormula>
    </tableColumn>
    <tableColumn id="4" name="Qté achetée/vendue"/>
    <tableColumn id="8" name="Cours achetée/vendue"/>
    <tableColumn id="6" name="Valeur transaction" totalsRowFunction="sum" dataDxfId="1" totalsRowDxfId="0" dataCellStyle="Monétaire">
      <calculatedColumnFormula>Tableau1[[#This Row],[Cours achetée/vendue]]*Tableau1[[#This Row],[Qté achetée/vendue]]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F13" totalsRowCount="1">
  <autoFilter ref="A1:F12"/>
  <tableColumns count="6">
    <tableColumn id="1" name="code" totalsRowLabel="Total" dataDxfId="11" totalsRowDxfId="10"/>
    <tableColumn id="2" name="libellé" dataDxfId="9">
      <calculatedColumnFormula>VLOOKUP(Tableau3[[#This Row],[code]],Tableau2[],2,0)</calculatedColumnFormula>
    </tableColumn>
    <tableColumn id="3" name="investissement" totalsRowFunction="sum" totalsRowDxfId="8" dataCellStyle="Monétaire">
      <calculatedColumnFormula>SUMPRODUCT(Tableau1[Valeur transaction]*(Tableau1[Code]=Tableau3[[#This Row],[code]]))</calculatedColumnFormula>
    </tableColumn>
    <tableColumn id="6" name="qté" dataDxfId="7">
      <calculatedColumnFormula>SUMPRODUCT(Tableau1[Qté achetée/vendue]*(Tableau1[Code]=Tableau3[[#This Row],[code]]))</calculatedColumnFormula>
    </tableColumn>
    <tableColumn id="4" name="valeur actualisée" totalsRowFunction="sum" totalsRowDxfId="6" dataCellStyle="Monétaire">
      <calculatedColumnFormula>VLOOKUP(Tableau3[[#This Row],[code]],Tableau2[],4,0)*Tableau3[[#This Row],[qté]]</calculatedColumnFormula>
    </tableColumn>
    <tableColumn id="5" name="rendement" totalsRowFunction="custom" dataDxfId="5" totalsRowDxfId="4" dataCellStyle="Pourcentage">
      <calculatedColumnFormula>IFERROR(Tableau3[[#This Row],[valeur actualisée]]/Tableau3[[#This Row],[investissement]]-1,"")</calculatedColumnFormula>
      <totalsRowFormula>Tableau3[[#Totals],[valeur actualisée]]/Tableau3[[#Totals],[investissement]]-1</totalsRow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D12" totalsRowShown="0">
  <autoFilter ref="A1:D12"/>
  <tableColumns count="4">
    <tableColumn id="1" name="ISIN"/>
    <tableColumn id="2" name="libelles"/>
    <tableColumn id="3" name="www" dataCellStyle="Lien hypertexte"/>
    <tableColumn id="4" name="cours" dataCellStyle="Monétair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ursorama.com/cours/1rPAC/" TargetMode="External"/><Relationship Id="rId2" Type="http://schemas.openxmlformats.org/officeDocument/2006/relationships/hyperlink" Target="https://www.boursorama.com/bourse/opcvm/cours/0P0000SBZ5/" TargetMode="External"/><Relationship Id="rId1" Type="http://schemas.openxmlformats.org/officeDocument/2006/relationships/hyperlink" Target="https://www.boursorama.com/cours/1zADS/" TargetMode="External"/><Relationship Id="rId5" Type="http://schemas.openxmlformats.org/officeDocument/2006/relationships/table" Target="../tables/table3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E2" sqref="E2"/>
    </sheetView>
  </sheetViews>
  <sheetFormatPr baseColWidth="10" defaultRowHeight="14.5" x14ac:dyDescent="0.35"/>
  <cols>
    <col min="1" max="1" width="10.453125" style="3" bestFit="1" customWidth="1"/>
    <col min="2" max="2" width="12.81640625" bestFit="1" customWidth="1"/>
    <col min="3" max="3" width="20.453125" style="12" bestFit="1" customWidth="1"/>
    <col min="4" max="4" width="20.36328125" bestFit="1" customWidth="1"/>
    <col min="5" max="5" width="22.7265625" bestFit="1" customWidth="1"/>
    <col min="6" max="6" width="17.90625" style="13" bestFit="1" customWidth="1"/>
    <col min="7" max="7" width="17.36328125" bestFit="1" customWidth="1"/>
  </cols>
  <sheetData>
    <row r="1" spans="1:6" x14ac:dyDescent="0.35">
      <c r="A1" s="3" t="s">
        <v>38</v>
      </c>
      <c r="B1" t="s">
        <v>37</v>
      </c>
      <c r="C1" s="12" t="s">
        <v>40</v>
      </c>
      <c r="D1" t="s">
        <v>39</v>
      </c>
      <c r="E1" t="s">
        <v>44</v>
      </c>
      <c r="F1" s="13" t="s">
        <v>45</v>
      </c>
    </row>
    <row r="2" spans="1:6" x14ac:dyDescent="0.35">
      <c r="A2" s="3">
        <v>44197</v>
      </c>
      <c r="B2" t="s">
        <v>3</v>
      </c>
      <c r="C2" s="12" t="str">
        <f>VLOOKUP(Tableau1[[#This Row],[Code]],Tableau2[],2,0)</f>
        <v>accord</v>
      </c>
      <c r="D2">
        <v>100</v>
      </c>
      <c r="E2">
        <v>30</v>
      </c>
      <c r="F2" s="13">
        <f>Tableau1[[#This Row],[Cours achetée/vendue]]*Tableau1[[#This Row],[Qté achetée/vendue]]</f>
        <v>3000</v>
      </c>
    </row>
    <row r="3" spans="1:6" x14ac:dyDescent="0.35">
      <c r="A3" s="3">
        <v>44197</v>
      </c>
      <c r="B3" t="s">
        <v>15</v>
      </c>
      <c r="C3" s="12" t="str">
        <f>VLOOKUP(Tableau1[[#This Row],[Code]],Tableau2[],2,0)</f>
        <v xml:space="preserve">Agipi Ambition </v>
      </c>
      <c r="D3">
        <v>100</v>
      </c>
      <c r="E3">
        <v>30</v>
      </c>
      <c r="F3" s="13">
        <f>Tableau1[[#This Row],[Cours achetée/vendue]]*Tableau1[[#This Row],[Qté achetée/vendue]]</f>
        <v>3000</v>
      </c>
    </row>
    <row r="4" spans="1:6" x14ac:dyDescent="0.35">
      <c r="A4" s="3">
        <v>44197</v>
      </c>
      <c r="B4" t="s">
        <v>7</v>
      </c>
      <c r="C4" s="12" t="str">
        <f>VLOOKUP(Tableau1[[#This Row],[Code]],Tableau2[],2,0)</f>
        <v xml:space="preserve">Afer Actions Euro A A/I </v>
      </c>
      <c r="D4">
        <v>100</v>
      </c>
      <c r="E4">
        <v>160</v>
      </c>
      <c r="F4" s="13">
        <f>Tableau1[[#This Row],[Cours achetée/vendue]]*Tableau1[[#This Row],[Qté achetée/vendue]]</f>
        <v>16000</v>
      </c>
    </row>
    <row r="5" spans="1:6" x14ac:dyDescent="0.35">
      <c r="A5" s="3">
        <v>44201</v>
      </c>
      <c r="B5" t="s">
        <v>3</v>
      </c>
      <c r="C5" s="12" t="str">
        <f>VLOOKUP(Tableau1[[#This Row],[Code]],Tableau2[],2,0)</f>
        <v>accord</v>
      </c>
      <c r="D5">
        <v>-50</v>
      </c>
      <c r="E5">
        <v>32</v>
      </c>
      <c r="F5" s="13">
        <f>Tableau1[[#This Row],[Cours achetée/vendue]]*Tableau1[[#This Row],[Qté achetée/vendue]]</f>
        <v>-1600</v>
      </c>
    </row>
    <row r="6" spans="1:6" x14ac:dyDescent="0.35">
      <c r="A6" s="3">
        <v>44201</v>
      </c>
      <c r="B6" t="s">
        <v>13</v>
      </c>
      <c r="C6" s="12" t="str">
        <f>VLOOKUP(Tableau1[[#This Row],[Code]],Tableau2[],2,0)</f>
        <v xml:space="preserve">AGIPI Actions Monde </v>
      </c>
      <c r="D6">
        <v>10</v>
      </c>
      <c r="E6">
        <v>46</v>
      </c>
      <c r="F6" s="13">
        <f>Tableau1[[#This Row],[Cours achetée/vendue]]*Tableau1[[#This Row],[Qté achetée/vendue]]</f>
        <v>460</v>
      </c>
    </row>
    <row r="7" spans="1:6" x14ac:dyDescent="0.35">
      <c r="A7" s="3">
        <v>44202</v>
      </c>
      <c r="B7" t="s">
        <v>3</v>
      </c>
      <c r="C7" s="12" t="str">
        <f>VLOOKUP(Tableau1[[#This Row],[Code]],Tableau2[],2,0)</f>
        <v>accord</v>
      </c>
      <c r="D7">
        <v>-20</v>
      </c>
      <c r="E7">
        <v>35</v>
      </c>
      <c r="F7" s="13">
        <f>Tableau1[[#This Row],[Cours achetée/vendue]]*Tableau1[[#This Row],[Qté achetée/vendue]]</f>
        <v>-700</v>
      </c>
    </row>
    <row r="8" spans="1:6" x14ac:dyDescent="0.35">
      <c r="A8" t="s">
        <v>41</v>
      </c>
      <c r="F8" s="13">
        <f>SUBTOTAL(109,Tableau1[Valeur transaction])</f>
        <v>20160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B21" sqref="B21"/>
    </sheetView>
  </sheetViews>
  <sheetFormatPr baseColWidth="10" defaultRowHeight="14.5" x14ac:dyDescent="0.35"/>
  <cols>
    <col min="1" max="1" width="15.7265625" style="5" bestFit="1" customWidth="1"/>
    <col min="2" max="2" width="20.453125" style="5" bestFit="1" customWidth="1"/>
    <col min="3" max="3" width="16.90625" style="7" bestFit="1" customWidth="1"/>
    <col min="4" max="4" width="5.90625" style="5" bestFit="1" customWidth="1"/>
    <col min="5" max="5" width="18.453125" style="7" bestFit="1" customWidth="1"/>
    <col min="6" max="6" width="12.453125" style="10" bestFit="1" customWidth="1"/>
    <col min="7" max="16384" width="10.90625" style="5"/>
  </cols>
  <sheetData>
    <row r="1" spans="1:6" x14ac:dyDescent="0.35">
      <c r="A1" s="5" t="s">
        <v>42</v>
      </c>
      <c r="B1" s="5" t="s">
        <v>43</v>
      </c>
      <c r="C1" s="7" t="s">
        <v>46</v>
      </c>
      <c r="D1" s="5" t="s">
        <v>49</v>
      </c>
      <c r="E1" s="7" t="s">
        <v>48</v>
      </c>
      <c r="F1" s="10" t="s">
        <v>47</v>
      </c>
    </row>
    <row r="2" spans="1:6" x14ac:dyDescent="0.35">
      <c r="A2" s="4" t="s">
        <v>3</v>
      </c>
      <c r="B2" s="5" t="str">
        <f>VLOOKUP(Tableau3[[#This Row],[code]],Tableau2[],2,0)</f>
        <v>accord</v>
      </c>
      <c r="C2" s="7">
        <f>SUMPRODUCT(Tableau1[Valeur transaction]*(Tableau1[Code]=Tableau3[[#This Row],[code]]))</f>
        <v>700</v>
      </c>
      <c r="D2" s="5">
        <f>SUMPRODUCT(Tableau1[Qté achetée/vendue]*(Tableau1[Code]=Tableau3[[#This Row],[code]]))</f>
        <v>30</v>
      </c>
      <c r="E2" s="7">
        <f>VLOOKUP(Tableau3[[#This Row],[code]],Tableau2[],4,0)*Tableau3[[#This Row],[qté]]</f>
        <v>966.89999999999986</v>
      </c>
      <c r="F2" s="10">
        <f>IFERROR(Tableau3[[#This Row],[valeur actualisée]]/Tableau3[[#This Row],[investissement]]-1,"")</f>
        <v>0.38128571428571401</v>
      </c>
    </row>
    <row r="3" spans="1:6" x14ac:dyDescent="0.35">
      <c r="A3" s="4" t="s">
        <v>5</v>
      </c>
      <c r="B3" s="5" t="str">
        <f>VLOOKUP(Tableau3[[#This Row],[code]],Tableau2[],2,0)</f>
        <v>Adidas</v>
      </c>
      <c r="C3" s="7">
        <f>SUMPRODUCT(Tableau1[Valeur transaction]*(Tableau1[Code]=Tableau3[[#This Row],[code]]))</f>
        <v>0</v>
      </c>
      <c r="D3" s="5">
        <f>SUMPRODUCT(Tableau1[Qté achetée/vendue]*(Tableau1[Code]=Tableau3[[#This Row],[code]]))</f>
        <v>0</v>
      </c>
      <c r="E3" s="7">
        <f>VLOOKUP(Tableau3[[#This Row],[code]],Tableau2[],4,0)*Tableau3[[#This Row],[qté]]</f>
        <v>0</v>
      </c>
      <c r="F3" s="10" t="str">
        <f>IFERROR(Tableau3[[#This Row],[valeur actualisée]]/Tableau3[[#This Row],[investissement]]-1,"")</f>
        <v/>
      </c>
    </row>
    <row r="4" spans="1:6" x14ac:dyDescent="0.35">
      <c r="A4" s="4" t="s">
        <v>7</v>
      </c>
      <c r="B4" s="5" t="str">
        <f>VLOOKUP(Tableau3[[#This Row],[code]],Tableau2[],2,0)</f>
        <v xml:space="preserve">Afer Actions Euro A A/I </v>
      </c>
      <c r="C4" s="7">
        <f>SUMPRODUCT(Tableau1[Valeur transaction]*(Tableau1[Code]=Tableau3[[#This Row],[code]]))</f>
        <v>16000</v>
      </c>
      <c r="D4" s="5">
        <f>SUMPRODUCT(Tableau1[Qté achetée/vendue]*(Tableau1[Code]=Tableau3[[#This Row],[code]]))</f>
        <v>100</v>
      </c>
      <c r="E4" s="7">
        <f>VLOOKUP(Tableau3[[#This Row],[code]],Tableau2[],4,0)*Tableau3[[#This Row],[qté]]</f>
        <v>15211.000000000002</v>
      </c>
      <c r="F4" s="10">
        <f>IFERROR(Tableau3[[#This Row],[valeur actualisée]]/Tableau3[[#This Row],[investissement]]-1,"")</f>
        <v>-4.931249999999987E-2</v>
      </c>
    </row>
    <row r="5" spans="1:6" x14ac:dyDescent="0.35">
      <c r="A5" s="4" t="s">
        <v>9</v>
      </c>
      <c r="B5" s="5" t="str">
        <f>VLOOKUP(Tableau3[[#This Row],[code]],Tableau2[],2,0)</f>
        <v>Afer Action Monde</v>
      </c>
      <c r="C5" s="7">
        <f>SUMPRODUCT(Tableau1[Valeur transaction]*(Tableau1[Code]=Tableau3[[#This Row],[code]]))</f>
        <v>0</v>
      </c>
      <c r="D5" s="5">
        <f>SUMPRODUCT(Tableau1[Qté achetée/vendue]*(Tableau1[Code]=Tableau3[[#This Row],[code]]))</f>
        <v>0</v>
      </c>
      <c r="E5" s="7">
        <f>VLOOKUP(Tableau3[[#This Row],[code]],Tableau2[],4,0)*Tableau3[[#This Row],[qté]]</f>
        <v>0</v>
      </c>
      <c r="F5" s="10" t="str">
        <f>IFERROR(Tableau3[[#This Row],[valeur actualisée]]/Tableau3[[#This Row],[investissement]]-1,"")</f>
        <v/>
      </c>
    </row>
    <row r="6" spans="1:6" x14ac:dyDescent="0.35">
      <c r="A6" s="4" t="s">
        <v>11</v>
      </c>
      <c r="B6" s="5" t="str">
        <f>VLOOKUP(Tableau3[[#This Row],[code]],Tableau2[],2,0)</f>
        <v xml:space="preserve">Afer-Sfer A/I </v>
      </c>
      <c r="C6" s="7">
        <f>SUMPRODUCT(Tableau1[Valeur transaction]*(Tableau1[Code]=Tableau3[[#This Row],[code]]))</f>
        <v>0</v>
      </c>
      <c r="D6" s="5">
        <f>SUMPRODUCT(Tableau1[Qté achetée/vendue]*(Tableau1[Code]=Tableau3[[#This Row],[code]]))</f>
        <v>0</v>
      </c>
      <c r="E6" s="7">
        <f>VLOOKUP(Tableau3[[#This Row],[code]],Tableau2[],4,0)*Tableau3[[#This Row],[qté]]</f>
        <v>0</v>
      </c>
      <c r="F6" s="10" t="str">
        <f>IFERROR(Tableau3[[#This Row],[valeur actualisée]]/Tableau3[[#This Row],[investissement]]-1,"")</f>
        <v/>
      </c>
    </row>
    <row r="7" spans="1:6" x14ac:dyDescent="0.35">
      <c r="A7" s="4" t="s">
        <v>13</v>
      </c>
      <c r="B7" s="5" t="str">
        <f>VLOOKUP(Tableau3[[#This Row],[code]],Tableau2[],2,0)</f>
        <v xml:space="preserve">AGIPI Actions Monde </v>
      </c>
      <c r="C7" s="7">
        <f>SUMPRODUCT(Tableau1[Valeur transaction]*(Tableau1[Code]=Tableau3[[#This Row],[code]]))</f>
        <v>460</v>
      </c>
      <c r="D7" s="5">
        <f>SUMPRODUCT(Tableau1[Qté achetée/vendue]*(Tableau1[Code]=Tableau3[[#This Row],[code]]))</f>
        <v>10</v>
      </c>
      <c r="E7" s="7">
        <f>VLOOKUP(Tableau3[[#This Row],[code]],Tableau2[],4,0)*Tableau3[[#This Row],[qté]]</f>
        <v>447.2</v>
      </c>
      <c r="F7" s="10">
        <f>IFERROR(Tableau3[[#This Row],[valeur actualisée]]/Tableau3[[#This Row],[investissement]]-1,"")</f>
        <v>-2.7826086956521778E-2</v>
      </c>
    </row>
    <row r="8" spans="1:6" x14ac:dyDescent="0.35">
      <c r="A8" s="4" t="s">
        <v>15</v>
      </c>
      <c r="B8" s="5" t="str">
        <f>VLOOKUP(Tableau3[[#This Row],[code]],Tableau2[],2,0)</f>
        <v xml:space="preserve">Agipi Ambition </v>
      </c>
      <c r="C8" s="7">
        <f>SUMPRODUCT(Tableau1[Valeur transaction]*(Tableau1[Code]=Tableau3[[#This Row],[code]]))</f>
        <v>3000</v>
      </c>
      <c r="D8" s="5">
        <f>SUMPRODUCT(Tableau1[Qté achetée/vendue]*(Tableau1[Code]=Tableau3[[#This Row],[code]]))</f>
        <v>100</v>
      </c>
      <c r="E8" s="7">
        <f>VLOOKUP(Tableau3[[#This Row],[code]],Tableau2[],4,0)*Tableau3[[#This Row],[qté]]</f>
        <v>3308</v>
      </c>
      <c r="F8" s="10">
        <f>IFERROR(Tableau3[[#This Row],[valeur actualisée]]/Tableau3[[#This Row],[investissement]]-1,"")</f>
        <v>0.10266666666666668</v>
      </c>
    </row>
    <row r="9" spans="1:6" x14ac:dyDescent="0.35">
      <c r="A9" s="4" t="s">
        <v>17</v>
      </c>
      <c r="B9" s="5" t="str">
        <f>VLOOKUP(Tableau3[[#This Row],[code]],Tableau2[],2,0)</f>
        <v>Air Liquide</v>
      </c>
      <c r="C9" s="7">
        <f>SUMPRODUCT(Tableau1[Valeur transaction]*(Tableau1[Code]=Tableau3[[#This Row],[code]]))</f>
        <v>0</v>
      </c>
      <c r="D9" s="5">
        <f>SUMPRODUCT(Tableau1[Qté achetée/vendue]*(Tableau1[Code]=Tableau3[[#This Row],[code]]))</f>
        <v>0</v>
      </c>
      <c r="E9" s="7">
        <f>VLOOKUP(Tableau3[[#This Row],[code]],Tableau2[],4,0)*Tableau3[[#This Row],[qté]]</f>
        <v>0</v>
      </c>
      <c r="F9" s="10" t="str">
        <f>IFERROR(Tableau3[[#This Row],[valeur actualisée]]/Tableau3[[#This Row],[investissement]]-1,"")</f>
        <v/>
      </c>
    </row>
    <row r="10" spans="1:6" x14ac:dyDescent="0.35">
      <c r="A10" s="4" t="s">
        <v>19</v>
      </c>
      <c r="B10" s="5" t="str">
        <f>VLOOKUP(Tableau3[[#This Row],[code]],Tableau2[],2,0)</f>
        <v>AIRBUS GROUP</v>
      </c>
      <c r="C10" s="7">
        <f>SUMPRODUCT(Tableau1[Valeur transaction]*(Tableau1[Code]=Tableau3[[#This Row],[code]]))</f>
        <v>0</v>
      </c>
      <c r="D10" s="5">
        <f>SUMPRODUCT(Tableau1[Qté achetée/vendue]*(Tableau1[Code]=Tableau3[[#This Row],[code]]))</f>
        <v>0</v>
      </c>
      <c r="E10" s="7">
        <f>VLOOKUP(Tableau3[[#This Row],[code]],Tableau2[],4,0)*Tableau3[[#This Row],[qté]]</f>
        <v>0</v>
      </c>
      <c r="F10" s="10" t="str">
        <f>IFERROR(Tableau3[[#This Row],[valeur actualisée]]/Tableau3[[#This Row],[investissement]]-1,"")</f>
        <v/>
      </c>
    </row>
    <row r="11" spans="1:6" x14ac:dyDescent="0.35">
      <c r="A11" s="4" t="s">
        <v>21</v>
      </c>
      <c r="B11" s="5" t="str">
        <f>VLOOKUP(Tableau3[[#This Row],[code]],Tableau2[],2,0)</f>
        <v>Allianz Foncier C/D</v>
      </c>
      <c r="C11" s="7">
        <f>SUMPRODUCT(Tableau1[Valeur transaction]*(Tableau1[Code]=Tableau3[[#This Row],[code]]))</f>
        <v>0</v>
      </c>
      <c r="D11" s="5">
        <f>SUMPRODUCT(Tableau1[Qté achetée/vendue]*(Tableau1[Code]=Tableau3[[#This Row],[code]]))</f>
        <v>0</v>
      </c>
      <c r="E11" s="7">
        <f>VLOOKUP(Tableau3[[#This Row],[code]],Tableau2[],4,0)*Tableau3[[#This Row],[qté]]</f>
        <v>0</v>
      </c>
      <c r="F11" s="10" t="str">
        <f>IFERROR(Tableau3[[#This Row],[valeur actualisée]]/Tableau3[[#This Row],[investissement]]-1,"")</f>
        <v/>
      </c>
    </row>
    <row r="12" spans="1:6" x14ac:dyDescent="0.35">
      <c r="A12" s="4" t="s">
        <v>23</v>
      </c>
      <c r="B12" s="5" t="str">
        <f>VLOOKUP(Tableau3[[#This Row],[code]],Tableau2[],2,0)</f>
        <v>Amundi Emg Mark Eqt</v>
      </c>
      <c r="C12" s="7">
        <f>SUMPRODUCT(Tableau1[Valeur transaction]*(Tableau1[Code]=Tableau3[[#This Row],[code]]))</f>
        <v>0</v>
      </c>
      <c r="D12" s="5">
        <f>SUMPRODUCT(Tableau1[Qté achetée/vendue]*(Tableau1[Code]=Tableau3[[#This Row],[code]]))</f>
        <v>0</v>
      </c>
      <c r="E12" s="7">
        <f>VLOOKUP(Tableau3[[#This Row],[code]],Tableau2[],4,0)*Tableau3[[#This Row],[qté]]</f>
        <v>0</v>
      </c>
      <c r="F12" s="10" t="str">
        <f>IFERROR(Tableau3[[#This Row],[valeur actualisée]]/Tableau3[[#This Row],[investissement]]-1,"")</f>
        <v/>
      </c>
    </row>
    <row r="13" spans="1:6" x14ac:dyDescent="0.35">
      <c r="A13" s="6" t="s">
        <v>41</v>
      </c>
      <c r="B13"/>
      <c r="C13" s="9">
        <f>SUBTOTAL(109,Tableau3[investissement])</f>
        <v>20160</v>
      </c>
      <c r="D13"/>
      <c r="E13" s="9">
        <f>SUBTOTAL(109,Tableau3[valeur actualisée])</f>
        <v>19933.100000000002</v>
      </c>
      <c r="F13" s="11">
        <f>Tableau3[[#Totals],[valeur actualisée]]/Tableau3[[#Totals],[investissement]]-1</f>
        <v>-1.1254960317460205E-2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workbookViewId="0">
      <selection activeCell="G20" sqref="G20"/>
    </sheetView>
  </sheetViews>
  <sheetFormatPr baseColWidth="10" defaultRowHeight="14.5" x14ac:dyDescent="0.35"/>
  <cols>
    <col min="1" max="1" width="15.7265625" bestFit="1" customWidth="1"/>
    <col min="2" max="2" width="29.453125" customWidth="1"/>
    <col min="3" max="3" width="63.81640625" customWidth="1"/>
    <col min="4" max="4" width="10.90625" style="8"/>
  </cols>
  <sheetData>
    <row r="1" spans="1:4" x14ac:dyDescent="0.35">
      <c r="A1" t="s">
        <v>0</v>
      </c>
      <c r="B1" t="s">
        <v>1</v>
      </c>
      <c r="C1" t="s">
        <v>36</v>
      </c>
      <c r="D1" s="8" t="s">
        <v>2</v>
      </c>
    </row>
    <row r="2" spans="1:4" x14ac:dyDescent="0.35">
      <c r="A2" t="s">
        <v>3</v>
      </c>
      <c r="B2" t="s">
        <v>4</v>
      </c>
      <c r="C2" s="2" t="s">
        <v>25</v>
      </c>
      <c r="D2" s="8">
        <v>32.229999999999997</v>
      </c>
    </row>
    <row r="3" spans="1:4" x14ac:dyDescent="0.35">
      <c r="A3" t="s">
        <v>5</v>
      </c>
      <c r="B3" t="s">
        <v>6</v>
      </c>
      <c r="C3" s="2" t="s">
        <v>26</v>
      </c>
      <c r="D3" s="8">
        <v>261.7</v>
      </c>
    </row>
    <row r="4" spans="1:4" x14ac:dyDescent="0.35">
      <c r="A4" t="s">
        <v>7</v>
      </c>
      <c r="B4" t="s">
        <v>8</v>
      </c>
      <c r="C4" s="1" t="s">
        <v>27</v>
      </c>
      <c r="D4" s="8">
        <v>152.11000000000001</v>
      </c>
    </row>
    <row r="5" spans="1:4" x14ac:dyDescent="0.35">
      <c r="A5" t="s">
        <v>9</v>
      </c>
      <c r="B5" t="s">
        <v>10</v>
      </c>
      <c r="C5" s="1" t="s">
        <v>28</v>
      </c>
      <c r="D5" s="8">
        <v>1200.21</v>
      </c>
    </row>
    <row r="6" spans="1:4" x14ac:dyDescent="0.35">
      <c r="A6" t="s">
        <v>11</v>
      </c>
      <c r="B6" t="s">
        <v>12</v>
      </c>
      <c r="C6" s="1" t="s">
        <v>29</v>
      </c>
      <c r="D6" s="8">
        <v>68.040000000000006</v>
      </c>
    </row>
    <row r="7" spans="1:4" x14ac:dyDescent="0.35">
      <c r="A7" t="s">
        <v>13</v>
      </c>
      <c r="B7" t="s">
        <v>14</v>
      </c>
      <c r="C7" s="1" t="s">
        <v>30</v>
      </c>
      <c r="D7" s="8">
        <v>44.72</v>
      </c>
    </row>
    <row r="8" spans="1:4" x14ac:dyDescent="0.35">
      <c r="A8" t="s">
        <v>15</v>
      </c>
      <c r="B8" t="s">
        <v>16</v>
      </c>
      <c r="C8" s="1" t="s">
        <v>31</v>
      </c>
      <c r="D8" s="8">
        <v>33.08</v>
      </c>
    </row>
    <row r="9" spans="1:4" x14ac:dyDescent="0.35">
      <c r="A9" t="s">
        <v>17</v>
      </c>
      <c r="B9" t="s">
        <v>18</v>
      </c>
      <c r="C9" s="1" t="s">
        <v>32</v>
      </c>
      <c r="D9" s="8">
        <v>136.69999999999999</v>
      </c>
    </row>
    <row r="10" spans="1:4" x14ac:dyDescent="0.35">
      <c r="A10" t="s">
        <v>19</v>
      </c>
      <c r="B10" t="s">
        <v>20</v>
      </c>
      <c r="C10" s="1" t="s">
        <v>33</v>
      </c>
      <c r="D10" s="8">
        <v>97.68</v>
      </c>
    </row>
    <row r="11" spans="1:4" x14ac:dyDescent="0.35">
      <c r="A11" t="s">
        <v>21</v>
      </c>
      <c r="B11" t="s">
        <v>22</v>
      </c>
      <c r="C11" s="1" t="s">
        <v>34</v>
      </c>
      <c r="D11" s="8">
        <v>83.84</v>
      </c>
    </row>
    <row r="12" spans="1:4" x14ac:dyDescent="0.35">
      <c r="A12" t="s">
        <v>23</v>
      </c>
      <c r="B12" t="s">
        <v>24</v>
      </c>
      <c r="C12" s="2" t="s">
        <v>35</v>
      </c>
      <c r="D12" s="8">
        <v>173.04</v>
      </c>
    </row>
  </sheetData>
  <hyperlinks>
    <hyperlink ref="C3" r:id="rId1"/>
    <hyperlink ref="C12" r:id="rId2"/>
    <hyperlink ref="C2" r:id="rId3"/>
  </hyperlinks>
  <pageMargins left="0.7" right="0.7" top="0.75" bottom="0.75" header="0.3" footer="0.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achats ventes</vt:lpstr>
      <vt:lpstr>situation du portefeuille</vt:lpstr>
      <vt:lpstr>cours bourse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antoine devaux</dc:creator>
  <cp:lastModifiedBy>Michel</cp:lastModifiedBy>
  <dcterms:created xsi:type="dcterms:W3CDTF">2021-02-20T11:12:29Z</dcterms:created>
  <dcterms:modified xsi:type="dcterms:W3CDTF">2021-03-28T10:53:39Z</dcterms:modified>
</cp:coreProperties>
</file>