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030" activeTab="2"/>
  </bookViews>
  <sheets>
    <sheet name="JF" sheetId="2" r:id="rId1"/>
    <sheet name="parametres" sheetId="3" r:id="rId2"/>
    <sheet name="horaires" sheetId="4" r:id="rId3"/>
    <sheet name="synthèse €" sheetId="6" r:id="rId4"/>
    <sheet name="synthèse heures" sheetId="7" r:id="rId5"/>
  </sheets>
  <functionGroups builtInGroupCount="18"/>
  <definedNames>
    <definedName name="debNuit">parametres!$B$1</definedName>
    <definedName name="finNuit">parametres!$B$2</definedName>
    <definedName name="JF">JF!$C$1:$C$60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4" l="1"/>
  <c r="J9" i="4"/>
  <c r="J10" i="4"/>
  <c r="J5" i="4" l="1"/>
  <c r="J8" i="4"/>
  <c r="J6" i="4"/>
  <c r="L5" i="4"/>
  <c r="U5" i="4" s="1"/>
  <c r="L6" i="4"/>
  <c r="L7" i="4"/>
  <c r="U7" i="4" s="1"/>
  <c r="L8" i="4"/>
  <c r="L9" i="4"/>
  <c r="P9" i="4" s="1"/>
  <c r="L10" i="4"/>
  <c r="N5" i="4"/>
  <c r="N6" i="4"/>
  <c r="N7" i="4"/>
  <c r="N8" i="4"/>
  <c r="N9" i="4"/>
  <c r="N10" i="4"/>
  <c r="P10" i="4" l="1"/>
  <c r="V9" i="4"/>
  <c r="V5" i="4"/>
  <c r="U6" i="4"/>
  <c r="V8" i="4"/>
  <c r="Q9" i="4"/>
  <c r="Q5" i="4"/>
  <c r="P8" i="4"/>
  <c r="S8" i="4"/>
  <c r="Q8" i="4"/>
  <c r="P7" i="4"/>
  <c r="U10" i="4"/>
  <c r="Q10" i="4"/>
  <c r="Q6" i="4"/>
  <c r="U9" i="4"/>
  <c r="Q7" i="4"/>
  <c r="S7" i="4"/>
  <c r="V7" i="4"/>
  <c r="S6" i="4"/>
  <c r="U8" i="4"/>
  <c r="S10" i="4"/>
  <c r="V10" i="4"/>
  <c r="V6" i="4"/>
  <c r="S5" i="4"/>
  <c r="S9" i="4"/>
  <c r="A13" i="2"/>
  <c r="C24" i="2" s="1"/>
  <c r="C13" i="2" l="1"/>
  <c r="C17" i="2"/>
  <c r="C20" i="2"/>
  <c r="C23" i="2"/>
  <c r="C14" i="2"/>
  <c r="C21" i="2"/>
  <c r="A25" i="2"/>
  <c r="C32" i="2" s="1"/>
  <c r="C16" i="2"/>
  <c r="C22" i="2"/>
  <c r="C19" i="2" l="1"/>
  <c r="C15" i="2"/>
  <c r="C28" i="2"/>
  <c r="C34" i="2"/>
  <c r="C18" i="2"/>
  <c r="C36" i="2"/>
  <c r="A37" i="2"/>
  <c r="C25" i="2"/>
  <c r="C33" i="2"/>
  <c r="C29" i="2"/>
  <c r="C26" i="2"/>
  <c r="C35" i="2"/>
  <c r="C31" i="2" l="1"/>
  <c r="C27" i="2"/>
  <c r="C30" i="2"/>
  <c r="C48" i="2"/>
  <c r="A49" i="2"/>
  <c r="C45" i="2"/>
  <c r="C40" i="2"/>
  <c r="C46" i="2"/>
  <c r="C38" i="2"/>
  <c r="C44" i="2"/>
  <c r="C37" i="2"/>
  <c r="C41" i="2"/>
  <c r="C47" i="2"/>
  <c r="C42" i="2" l="1"/>
  <c r="C43" i="2"/>
  <c r="C39" i="2"/>
  <c r="C60" i="2"/>
  <c r="C57" i="2"/>
  <c r="C53" i="2"/>
  <c r="C49" i="2"/>
  <c r="C52" i="2"/>
  <c r="C58" i="2"/>
  <c r="C50" i="2"/>
  <c r="C56" i="2"/>
  <c r="C59" i="2"/>
  <c r="R9" i="4" l="1"/>
  <c r="R10" i="4"/>
  <c r="R5" i="4"/>
  <c r="R6" i="4"/>
  <c r="C51" i="2"/>
  <c r="C55" i="2"/>
  <c r="C54" i="2"/>
  <c r="T10" i="4" l="1"/>
  <c r="O10" i="4"/>
  <c r="P5" i="4"/>
  <c r="R7" i="4"/>
  <c r="R8" i="4"/>
  <c r="T9" i="4"/>
  <c r="O9" i="4"/>
  <c r="P6" i="4"/>
  <c r="C12" i="2"/>
  <c r="W10" i="4" l="1"/>
  <c r="W9" i="4"/>
  <c r="T5" i="4"/>
  <c r="O5" i="4"/>
  <c r="T7" i="4"/>
  <c r="O7" i="4"/>
  <c r="O8" i="4"/>
  <c r="T8" i="4"/>
  <c r="T6" i="4"/>
  <c r="O6" i="4"/>
  <c r="C1" i="2"/>
  <c r="C5" i="2"/>
  <c r="C9" i="2"/>
  <c r="C2" i="2"/>
  <c r="C10" i="2"/>
  <c r="C11" i="2"/>
  <c r="C4" i="2"/>
  <c r="C8" i="2"/>
  <c r="W6" i="4" l="1"/>
  <c r="W7" i="4"/>
  <c r="W5" i="4"/>
  <c r="W8" i="4"/>
  <c r="C7" i="2"/>
  <c r="C3" i="2"/>
  <c r="C6" i="2"/>
</calcChain>
</file>

<file path=xl/sharedStrings.xml><?xml version="1.0" encoding="utf-8"?>
<sst xmlns="http://schemas.openxmlformats.org/spreadsheetml/2006/main" count="134" uniqueCount="57">
  <si>
    <t>Date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</si>
  <si>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</si>
  <si>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</si>
  <si>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</si>
  <si>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</si>
  <si>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</si>
  <si>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</si>
  <si>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</si>
  <si>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</si>
  <si>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</si>
  <si>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</si>
  <si>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</si>
  <si>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</si>
  <si>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nuit</t>
  </si>
  <si>
    <t>fin nuit</t>
  </si>
  <si>
    <t>Étiquettes de lignes</t>
  </si>
  <si>
    <t>Total général</t>
  </si>
  <si>
    <t>Début pause</t>
  </si>
  <si>
    <t>Fin pause</t>
  </si>
  <si>
    <t>Fin</t>
  </si>
  <si>
    <t>Début</t>
  </si>
  <si>
    <t>Boites d'intérim</t>
  </si>
  <si>
    <t>Société</t>
  </si>
  <si>
    <t>km</t>
  </si>
  <si>
    <t>Taux de base</t>
  </si>
  <si>
    <t>Majo Dimanche</t>
  </si>
  <si>
    <t>Majo JF</t>
  </si>
  <si>
    <t>Majo Nuit</t>
  </si>
  <si>
    <t>Prime RTB/VAC</t>
  </si>
  <si>
    <t>Panier (si &gt;6h)</t>
  </si>
  <si>
    <t>Repas</t>
  </si>
  <si>
    <t>Transport</t>
  </si>
  <si>
    <t>_heures jour fériés</t>
  </si>
  <si>
    <t>_heures de nuit</t>
  </si>
  <si>
    <t>_heures jour</t>
  </si>
  <si>
    <t>_heures jour dimanche</t>
  </si>
  <si>
    <t>Taux de base (par h)</t>
  </si>
  <si>
    <t>Majo Dimanche (par h)</t>
  </si>
  <si>
    <t>Majo JF (par h)</t>
  </si>
  <si>
    <t>Majo Nuit (par h)</t>
  </si>
  <si>
    <t>Panier (si &gt;6h) (par j)</t>
  </si>
  <si>
    <t>Repas (par j)</t>
  </si>
  <si>
    <t>Transport (par km)</t>
  </si>
  <si>
    <t>#</t>
  </si>
  <si>
    <t>_total</t>
  </si>
  <si>
    <t>Total</t>
  </si>
  <si>
    <t>Somme de Total</t>
  </si>
  <si>
    <t>2021</t>
  </si>
  <si>
    <t>janv</t>
  </si>
  <si>
    <t>Étiquettes de colonnes</t>
  </si>
  <si>
    <t>Somme de _total</t>
  </si>
  <si>
    <t>societe_interim_1</t>
  </si>
  <si>
    <t>societe_interim_2</t>
  </si>
  <si>
    <t>client_1</t>
  </si>
  <si>
    <t>client_2</t>
  </si>
  <si>
    <t>client_3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</si>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</sst>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h:mm;@"/>
    <numFmt numFmtId="165" formatCode="ddd\ dd/mm/yyyy"/>
    <numFmt numFmtId="166" formatCode="#,##0.00\ &quot;€&quot;"/>
    <numFmt numFmtId="167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20" fontId="0" fillId="0" borderId="0" xfId="0" applyNumberFormat="1"/>
    <xf numFmtId="165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43" fontId="1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14" fontId="4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/>
    <xf numFmtId="14" fontId="1" fillId="0" borderId="0" xfId="0" applyNumberFormat="1" applyFont="1" applyFill="1" applyBorder="1"/>
    <xf numFmtId="0" fontId="1" fillId="0" borderId="0" xfId="0" applyNumberFormat="1" applyFont="1" applyFill="1" applyBorder="1"/>
    <xf numFmtId="14" fontId="1" fillId="0" borderId="0" xfId="0" applyNumberFormat="1" applyFont="1"/>
    <xf numFmtId="0" fontId="1" fillId="0" borderId="0" xfId="0" applyFont="1"/>
    <xf numFmtId="0" fontId="1" fillId="0" borderId="0" xfId="0" applyNumberFormat="1" applyFont="1"/>
    <xf numFmtId="0" fontId="4" fillId="0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left" indent="1"/>
    </xf>
    <xf numFmtId="166" fontId="0" fillId="0" borderId="0" xfId="0" applyNumberFormat="1"/>
    <xf numFmtId="0" fontId="0" fillId="0" borderId="0" xfId="0" applyNumberFormat="1"/>
    <xf numFmtId="2" fontId="1" fillId="0" borderId="0" xfId="0" applyNumberFormat="1" applyFont="1"/>
    <xf numFmtId="2" fontId="4" fillId="2" borderId="4" xfId="0" applyNumberFormat="1" applyFont="1" applyFill="1" applyBorder="1" applyAlignment="1">
      <alignment horizontal="center" vertical="center" wrapText="1"/>
    </xf>
    <xf numFmtId="2" fontId="4" fillId="2" borderId="3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1" fillId="0" borderId="0" xfId="1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/>
    <xf numFmtId="167" fontId="0" fillId="0" borderId="0" xfId="0" applyNumberFormat="1"/>
  </cellXfs>
  <cellStyles count="2">
    <cellStyle name="Milliers" xfId="1" builtinId="3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69850</xdr:rowOff>
    </xdr:from>
    <xdr:to>
      <xdr:col>4</xdr:col>
      <xdr:colOff>425450</xdr:colOff>
      <xdr:row>1</xdr:row>
      <xdr:rowOff>165100</xdr:rowOff>
    </xdr:to>
    <xdr:sp macro="" textlink="">
      <xdr:nvSpPr>
        <xdr:cNvPr id="2" name="Rectangle 1"/>
        <xdr:cNvSpPr/>
      </xdr:nvSpPr>
      <xdr:spPr>
        <a:xfrm>
          <a:off x="768350" y="69850"/>
          <a:ext cx="3092450" cy="279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heures rentrées au format hh:mm</a:t>
          </a:r>
        </a:p>
      </xdr:txBody>
    </xdr:sp>
    <xdr:clientData/>
  </xdr:twoCellAnchor>
  <xdr:twoCellAnchor>
    <xdr:from>
      <xdr:col>5</xdr:col>
      <xdr:colOff>63500</xdr:colOff>
      <xdr:row>0</xdr:row>
      <xdr:rowOff>63500</xdr:rowOff>
    </xdr:from>
    <xdr:to>
      <xdr:col>9</xdr:col>
      <xdr:colOff>609600</xdr:colOff>
      <xdr:row>1</xdr:row>
      <xdr:rowOff>146050</xdr:rowOff>
    </xdr:to>
    <xdr:sp macro="" textlink="">
      <xdr:nvSpPr>
        <xdr:cNvPr id="3" name="Rectangle 2"/>
        <xdr:cNvSpPr/>
      </xdr:nvSpPr>
      <xdr:spPr>
        <a:xfrm>
          <a:off x="1974850" y="63500"/>
          <a:ext cx="3873500" cy="24765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résultats ici en heures et centièmes hors pause</a:t>
          </a:r>
        </a:p>
      </xdr:txBody>
    </xdr:sp>
    <xdr:clientData/>
  </xdr:twoCellAnchor>
  <xdr:twoCellAnchor>
    <xdr:from>
      <xdr:col>13</xdr:col>
      <xdr:colOff>222250</xdr:colOff>
      <xdr:row>0</xdr:row>
      <xdr:rowOff>76200</xdr:rowOff>
    </xdr:from>
    <xdr:to>
      <xdr:col>22</xdr:col>
      <xdr:colOff>431800</xdr:colOff>
      <xdr:row>1</xdr:row>
      <xdr:rowOff>146050</xdr:rowOff>
    </xdr:to>
    <xdr:sp macro="" textlink="">
      <xdr:nvSpPr>
        <xdr:cNvPr id="4" name="Rectangle 3"/>
        <xdr:cNvSpPr/>
      </xdr:nvSpPr>
      <xdr:spPr>
        <a:xfrm>
          <a:off x="10217150" y="76200"/>
          <a:ext cx="7454900" cy="23495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calculs </a:t>
          </a:r>
        </a:p>
        <a:p>
          <a:pPr algn="ctr"/>
          <a:endParaRPr lang="fr-FR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01.56093796296" missingItemsLimit="0" createdVersion="5" refreshedVersion="5" minRefreshableVersion="3" recordCount="6">
  <cacheSource type="worksheet">
    <worksheetSource name="Horaires"/>
  </cacheSource>
  <cacheFields count="24">
    <cacheField name="Date" numFmtId="14">
      <sharedItems containsSemiMixedTypes="0" containsNonDate="0" containsDate="1" containsString="0" minDate="2021-01-01T00:00:00" maxDate="2021-05-09T00:00:00" count="6">
        <d v="2021-01-01T00:00:00"/>
        <d v="2021-01-03T00:00:00"/>
        <d v="2021-05-08T00:00:00"/>
        <d v="2021-01-05T00:00:00"/>
        <d v="2021-01-06T00:00:00"/>
        <d v="2021-01-07T00:00:00"/>
      </sharedItems>
      <fieldGroup par="23" base="0">
        <rangePr groupBy="months" startDate="2021-01-01T00:00:00" endDate="2021-05-09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5/2021"/>
        </groupItems>
      </fieldGroup>
    </cacheField>
    <cacheField name="Début" numFmtId="164">
      <sharedItems containsSemiMixedTypes="0" containsNonDate="0" containsDate="1" containsString="0" minDate="1899-12-30T08:30:00" maxDate="1899-12-30T21:00:00"/>
    </cacheField>
    <cacheField name="Début pause" numFmtId="164">
      <sharedItems containsNonDate="0" containsDate="1" containsString="0" containsBlank="1" minDate="1899-12-30T12:00:00" maxDate="1899-12-30T23:30:00"/>
    </cacheField>
    <cacheField name="Fin pause" numFmtId="164">
      <sharedItems containsNonDate="0" containsDate="1" containsString="0" containsBlank="1" minDate="1899-12-30T00:30:00" maxDate="1899-12-30T13:00:00"/>
    </cacheField>
    <cacheField name="Fin" numFmtId="164">
      <sharedItems containsSemiMixedTypes="0" containsNonDate="0" containsDate="1" containsString="0" minDate="1899-12-30T09:00:00" maxDate="1899-12-30T23:00:00"/>
    </cacheField>
    <cacheField name="_heures jour" numFmtId="2">
      <sharedItems containsSemiMixedTypes="0" containsString="0" containsNumber="1" minValue="0" maxValue="6.5"/>
    </cacheField>
    <cacheField name="_heures de nuit" numFmtId="2">
      <sharedItems containsSemiMixedTypes="0" containsString="0" containsNumber="1" minValue="0" maxValue="6.9999999999999991"/>
    </cacheField>
    <cacheField name="_heures jour dimanche" numFmtId="2">
      <sharedItems containsSemiMixedTypes="0" containsString="0" containsNumber="1" containsInteger="1" minValue="0" maxValue="13"/>
    </cacheField>
    <cacheField name="_heures jour fériés" numFmtId="2">
      <sharedItems containsSemiMixedTypes="0" containsString="0" containsNumber="1" minValue="0" maxValue="6.9999999999417923"/>
    </cacheField>
    <cacheField name="_total" numFmtId="2">
      <sharedItems containsSemiMixedTypes="0" containsString="0" containsNumber="1" minValue="3.9999999999999991" maxValue="16"/>
    </cacheField>
    <cacheField name="Boites d'intérim" numFmtId="43">
      <sharedItems count="2">
        <s v="societe_interim_2"/>
        <s v="societe_interim_1"/>
      </sharedItems>
    </cacheField>
    <cacheField name="#" numFmtId="0">
      <sharedItems containsSemiMixedTypes="0" containsString="0" containsNumber="1" containsInteger="1" minValue="1" maxValue="2"/>
    </cacheField>
    <cacheField name="Société" numFmtId="43">
      <sharedItems count="3">
        <s v="client_1"/>
        <s v="client_2"/>
        <s v="client_3"/>
      </sharedItems>
    </cacheField>
    <cacheField name="km" numFmtId="0">
      <sharedItems containsSemiMixedTypes="0" containsString="0" containsNumber="1" containsInteger="1" minValue="12" maxValue="23"/>
    </cacheField>
    <cacheField name="Taux de base" numFmtId="43">
      <sharedItems containsSemiMixedTypes="0" containsString="0" containsNumber="1" minValue="67.11999999999999" maxValue="273.76"/>
    </cacheField>
    <cacheField name="Majo Dimanche" numFmtId="43">
      <sharedItems containsSemiMixedTypes="0" containsString="0" containsNumber="1" minValue="0" maxValue="64.740000000000009"/>
    </cacheField>
    <cacheField name="Majo JF" numFmtId="43">
      <sharedItems containsSemiMixedTypes="0" containsString="0" containsNumber="1" minValue="0" maxValue="77.839999999352727"/>
    </cacheField>
    <cacheField name="Majo Nuit" numFmtId="43">
      <sharedItems containsSemiMixedTypes="0" containsString="0" containsNumber="1" minValue="0" maxValue="49.559999999999995"/>
    </cacheField>
    <cacheField name="Prime RTB/VAC" numFmtId="43">
      <sharedItems containsSemiMixedTypes="0" containsString="0" containsNumber="1" minValue="4.28" maxValue="4.46"/>
    </cacheField>
    <cacheField name="Panier (si &gt;6h)" numFmtId="43">
      <sharedItems containsSemiMixedTypes="0" containsString="0" containsNumber="1" minValue="0" maxValue="7.53"/>
    </cacheField>
    <cacheField name="Repas" numFmtId="43">
      <sharedItems containsSemiMixedTypes="0" containsString="0" containsNumber="1" minValue="6" maxValue="8.1199999999999992"/>
    </cacheField>
    <cacheField name="Transport" numFmtId="43">
      <sharedItems containsSemiMixedTypes="0" containsString="0" containsNumber="1" minValue="49.08" maxValue="117.76"/>
    </cacheField>
    <cacheField name="Total" numFmtId="43">
      <sharedItems containsSemiMixedTypes="0" containsString="0" containsNumber="1" minValue="195.33999999999997" maxValue="478.1"/>
    </cacheField>
    <cacheField name="Années" numFmtId="0" databaseField="0">
      <fieldGroup base="0">
        <rangePr groupBy="years" startDate="2021-01-01T00:00:00" endDate="2021-05-09T00:00:00"/>
        <groupItems count="3">
          <s v="&lt;01/01/2021"/>
          <s v="2021"/>
          <s v="&gt;09/05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d v="1899-12-30T08:30:00"/>
    <m/>
    <m/>
    <d v="1899-12-30T15:30:00"/>
    <n v="0"/>
    <n v="0"/>
    <n v="0"/>
    <n v="6.9999999999417923"/>
    <n v="6.9999999999417923"/>
    <x v="0"/>
    <n v="2"/>
    <x v="0"/>
    <n v="15"/>
    <n v="117.45999999902328"/>
    <n v="0"/>
    <n v="77.839999999352727"/>
    <n v="0"/>
    <n v="4.46"/>
    <n v="6"/>
    <n v="6"/>
    <n v="76.8"/>
    <n v="288.55999999837599"/>
  </r>
  <r>
    <x v="1"/>
    <d v="1899-12-30T09:00:00"/>
    <m/>
    <m/>
    <d v="1899-12-30T23:00:00"/>
    <n v="0"/>
    <n v="1.0000000000000018"/>
    <n v="13"/>
    <n v="0"/>
    <n v="14.000000000000002"/>
    <x v="1"/>
    <n v="1"/>
    <x v="1"/>
    <n v="12"/>
    <n v="239.54000000000002"/>
    <n v="64.740000000000009"/>
    <n v="0"/>
    <n v="7.0800000000000125"/>
    <n v="4.28"/>
    <n v="7.53"/>
    <n v="8.1199999999999992"/>
    <n v="49.08"/>
    <n v="380.36999999999995"/>
  </r>
  <r>
    <x v="2"/>
    <d v="1899-12-30T18:00:00"/>
    <m/>
    <m/>
    <d v="1899-12-30T10:00:00"/>
    <n v="0"/>
    <n v="6"/>
    <n v="4"/>
    <n v="6"/>
    <n v="16"/>
    <x v="1"/>
    <n v="1"/>
    <x v="0"/>
    <n v="15"/>
    <n v="273.76"/>
    <n v="19.920000000000002"/>
    <n v="60.66"/>
    <n v="42.480000000000004"/>
    <n v="4.28"/>
    <n v="7.53"/>
    <n v="8.1199999999999992"/>
    <n v="61.349999999999994"/>
    <n v="478.1"/>
  </r>
  <r>
    <x v="3"/>
    <d v="1899-12-30T09:00:00"/>
    <m/>
    <m/>
    <d v="1899-12-30T13:00:00"/>
    <n v="3.9999999999999991"/>
    <n v="0"/>
    <n v="0"/>
    <n v="0"/>
    <n v="3.9999999999999991"/>
    <x v="0"/>
    <n v="2"/>
    <x v="2"/>
    <n v="23"/>
    <n v="67.11999999999999"/>
    <n v="0"/>
    <n v="0"/>
    <n v="0"/>
    <n v="4.46"/>
    <n v="0"/>
    <n v="6"/>
    <n v="117.76"/>
    <n v="195.33999999999997"/>
  </r>
  <r>
    <x v="4"/>
    <d v="1899-12-30T21:00:00"/>
    <d v="1899-12-30T23:30:00"/>
    <d v="1899-12-30T00:30:00"/>
    <d v="1899-12-30T09:00:00"/>
    <n v="3.9999999999999991"/>
    <n v="6.9999999999999991"/>
    <n v="0"/>
    <n v="0"/>
    <n v="10.999999999999998"/>
    <x v="1"/>
    <n v="1"/>
    <x v="2"/>
    <n v="23"/>
    <n v="188.20999999999995"/>
    <n v="0"/>
    <n v="0"/>
    <n v="49.559999999999995"/>
    <n v="4.28"/>
    <n v="7.53"/>
    <n v="8.1199999999999992"/>
    <n v="94.07"/>
    <n v="351.76999999999992"/>
  </r>
  <r>
    <x v="5"/>
    <d v="1899-12-30T08:30:00"/>
    <d v="1899-12-30T12:00:00"/>
    <d v="1899-12-30T13:00:00"/>
    <d v="1899-12-30T16:00:00"/>
    <n v="6.5"/>
    <n v="0"/>
    <n v="0"/>
    <n v="0"/>
    <n v="6.5"/>
    <x v="1"/>
    <n v="1"/>
    <x v="2"/>
    <n v="23"/>
    <n v="111.215"/>
    <n v="0"/>
    <n v="0"/>
    <n v="0"/>
    <n v="4.28"/>
    <n v="7.53"/>
    <n v="8.1199999999999992"/>
    <n v="94.07"/>
    <n v="225.2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8" firstHeaderRow="1" firstDataRow="2" firstDataCol="1"/>
  <pivotFields count="2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showAll="0"/>
    <pivotField numFmtId="164" showAll="0"/>
    <pivotField numFmtId="43" showAll="0"/>
    <pivotField numFmtId="43" showAll="0"/>
    <pivotField numFmtId="43" showAll="0"/>
    <pivotField numFmtId="43" showAll="0"/>
    <pivotField numFmtId="43"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dataField="1" numFmtId="43" showAll="0" defaultSubtotal="0"/>
    <pivotField axis="axisRow" showAll="0" defaultSubtotal="0">
      <items count="3">
        <item x="0"/>
        <item x="1"/>
        <item x="2"/>
      </items>
    </pivotField>
  </pivotFields>
  <rowFields count="2">
    <field x="23"/>
    <field x="0"/>
  </rowFields>
  <rowItems count="4">
    <i>
      <x v="1"/>
    </i>
    <i r="1">
      <x v="1"/>
    </i>
    <i r="1">
      <x v="5"/>
    </i>
    <i t="grand">
      <x/>
    </i>
  </rowItems>
  <colFields count="1">
    <field x="10"/>
  </colFields>
  <colItems count="3">
    <i>
      <x/>
    </i>
    <i>
      <x v="1"/>
    </i>
    <i t="grand">
      <x/>
    </i>
  </colItems>
  <dataFields count="1">
    <dataField name="Somme de Total" fld="22" baseField="29" baseItem="1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8" firstHeaderRow="1" firstDataRow="2" firstDataCol="1"/>
  <pivotFields count="2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showAll="0"/>
    <pivotField numFmtId="164" showAll="0"/>
    <pivotField numFmtId="43" showAll="0"/>
    <pivotField numFmtId="43" showAll="0"/>
    <pivotField numFmtId="43" showAll="0"/>
    <pivotField numFmtId="43" showAll="0"/>
    <pivotField dataField="1" numFmtId="43" showAll="0"/>
    <pivotField showAll="0"/>
    <pivotField showAll="0"/>
    <pivotField axis="axisCol" showAll="0">
      <items count="4">
        <item x="0"/>
        <item x="1"/>
        <item x="2"/>
        <item t="default"/>
      </items>
    </pivotField>
    <pivotField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/>
    <pivotField numFmtId="43" showAll="0" defaultSubtotal="0"/>
    <pivotField axis="axisRow" showAll="0" defaultSubtotal="0">
      <items count="3">
        <item x="0"/>
        <item x="1"/>
        <item x="2"/>
      </items>
    </pivotField>
  </pivotFields>
  <rowFields count="2">
    <field x="23"/>
    <field x="0"/>
  </rowFields>
  <rowItems count="4">
    <i>
      <x v="1"/>
    </i>
    <i r="1">
      <x v="1"/>
    </i>
    <i r="1">
      <x v="5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dataFields count="1">
    <dataField name="Somme de _total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societe" displayName="Tsociete" ref="A4:B7" totalsRowShown="0">
  <autoFilter ref="A4:B7"/>
  <tableColumns count="2">
    <tableColumn id="1" name="Société"/>
    <tableColumn id="2" name="km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4" name="TboiteInterim" displayName="TboiteInterim" ref="A14:I16" totalsRowShown="0" headerRowDxfId="30">
  <autoFilter ref="A14:I16"/>
  <tableColumns count="9">
    <tableColumn id="1" name="Boites d'intérim"/>
    <tableColumn id="2" name="Taux de base (par h)"/>
    <tableColumn id="3" name="Majo Dimanche (par h)"/>
    <tableColumn id="4" name="Majo JF (par h)"/>
    <tableColumn id="5" name="Majo Nuit (par h)"/>
    <tableColumn id="6" name="Prime RTB/VAC"/>
    <tableColumn id="7" name="Panier (si &gt;6h) (par j)"/>
    <tableColumn id="8" name="Repas (par j)"/>
    <tableColumn id="9" name="Transport (par km)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" name="Horaires" displayName="Horaires" ref="A4:W10" totalsRowShown="0" headerRowDxfId="27" dataDxfId="25" headerRowBorderDxfId="26" tableBorderDxfId="24" totalsRowBorderDxfId="23">
  <autoFilter ref="A4:W10"/>
  <tableColumns count="23">
    <tableColumn id="1" name="Date" dataDxfId="22"/>
    <tableColumn id="3" name="Début" dataDxfId="21"/>
    <tableColumn id="7" name="Début pause" dataDxfId="20"/>
    <tableColumn id="8" name="Fin pause" dataDxfId="19"/>
    <tableColumn id="4" name="Fin" dataDxfId="18"/>
    <tableColumn id="2" name="_heures jour" dataDxfId="17" dataCellStyle="Milliers"/>
    <tableColumn id="17" name="_heures de nuit" dataDxfId="16" dataCellStyle="Milliers"/>
    <tableColumn id="11" name="_heures jour dimanche" dataDxfId="15" dataCellStyle="Milliers"/>
    <tableColumn id="12" name="_heures jour fériés" dataDxfId="14" dataCellStyle="Milliers"/>
    <tableColumn id="29" name="_total" dataDxfId="13" dataCellStyle="Milliers">
      <calculatedColumnFormula>Horaires[[#This Row],[_heures jour fériés]]+Horaires[[#This Row],[_heures jour dimanche]]+Horaires[[#This Row],[_heures de nuit]]+Horaires[[#This Row],[_heures jour]]</calculatedColumnFormula>
    </tableColumn>
    <tableColumn id="5" name="Boites d'intérim" dataDxfId="12" dataCellStyle="Milliers"/>
    <tableColumn id="28" name="#" dataDxfId="11" dataCellStyle="Milliers">
      <calculatedColumnFormula>MATCH(Horaires[[#This Row],[Boites d''intérim]],TboiteInterim[Boites d''intérim],0)</calculatedColumnFormula>
    </tableColumn>
    <tableColumn id="6" name="Société" dataDxfId="10" dataCellStyle="Milliers"/>
    <tableColumn id="9" name="km" dataDxfId="9" dataCellStyle="Milliers">
      <calculatedColumnFormula>VLOOKUP(Horaires[[#This Row],[Société]],Tsociete[],2,0)</calculatedColumnFormula>
    </tableColumn>
    <tableColumn id="10" name="Taux de base" dataDxfId="8" dataCellStyle="Milliers">
      <calculatedColumnFormula>INDEX(TboiteInterim[Taux de base (par h)],Horaires[[#This Row],['#]])*Horaires[[#This Row],[_total]]</calculatedColumnFormula>
    </tableColumn>
    <tableColumn id="20" name="Majo Dimanche" dataDxfId="7" dataCellStyle="Milliers">
      <calculatedColumnFormula>INDEX(TboiteInterim[Majo Dimanche (par h)],Horaires[[#This Row],['#]])*Horaires[[#This Row],[_heures jour dimanche]]</calculatedColumnFormula>
    </tableColumn>
    <tableColumn id="21" name="Majo JF" dataDxfId="6" dataCellStyle="Milliers">
      <calculatedColumnFormula>INDEX(TboiteInterim[Majo JF (par h)],Horaires[[#This Row],['#]])*Horaires[[#This Row],[_heures jour fériés]]</calculatedColumnFormula>
    </tableColumn>
    <tableColumn id="22" name="Majo Nuit" dataDxfId="5" dataCellStyle="Milliers">
      <calculatedColumnFormula>INDEX(TboiteInterim[Majo Nuit (par h)],Horaires[[#This Row],['#]])*Horaires[[#This Row],[_heures de nuit]]</calculatedColumnFormula>
    </tableColumn>
    <tableColumn id="23" name="Prime RTB/VAC" dataDxfId="4" dataCellStyle="Milliers">
      <calculatedColumnFormula>INDEX(TboiteInterim[Prime RTB/VAC],1)</calculatedColumnFormula>
    </tableColumn>
    <tableColumn id="24" name="Panier (si &gt;6h)" dataDxfId="3" dataCellStyle="Milliers">
      <calculatedColumnFormula>IF(Horaires[[#This Row],[_total]]&lt;6,0,INDEX(TboiteInterim[Panier (si &gt;6h) (par j)],Horaires[[#This Row],['#]]))</calculatedColumnFormula>
    </tableColumn>
    <tableColumn id="25" name="Repas" dataDxfId="2" dataCellStyle="Milliers">
      <calculatedColumnFormula>INDEX(TboiteInterim[Repas (par j)],1)</calculatedColumnFormula>
    </tableColumn>
    <tableColumn id="26" name="Transport" dataDxfId="1" dataCellStyle="Milliers">
      <calculatedColumnFormula>INDEX(TboiteInterim[Transport (par km)],Horaires[[#This Row],['#]])*Horaires[[#This Row],[km]]</calculatedColumnFormula>
    </tableColumn>
    <tableColumn id="30" name="Total" dataDxfId="0" dataCellStyle="Milliers">
      <calculatedColumnFormula>SUM(Horaires[[#This Row],[Taux de base]:[Transport]])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0"/>
  <sheetViews>
    <sheetView showZeros="0" workbookViewId="0">
      <selection activeCell="D1" sqref="D1:D1048576"/>
    </sheetView>
  </sheetViews>
  <sheetFormatPr baseColWidth="10" defaultRowHeight="14.5" x14ac:dyDescent="0.35"/>
  <cols>
    <col min="1" max="1" width="4.453125" bestFit="1" customWidth="1"/>
    <col min="2" max="2" width="18.6328125" style="4" customWidth="1"/>
    <col min="3" max="4" width="17.08984375" customWidth="1"/>
    <col min="5" max="5" width="19" bestFit="1" customWidth="1"/>
    <col min="6" max="6" width="19.90625" style="36" bestFit="1" customWidth="1"/>
  </cols>
  <sheetData>
    <row r="1" spans="1:4" x14ac:dyDescent="0.35">
      <c r="A1" s="1">
        <v>2021</v>
      </c>
      <c r="B1" s="3" t="s">
        <v>1</v>
      </c>
      <c r="C1" s="6">
        <f>DATE(A1,1,1)</f>
        <v>44197</v>
      </c>
      <c r="D1" s="6"/>
    </row>
    <row r="2" spans="1:4" x14ac:dyDescent="0.35">
      <c r="A2" s="2"/>
      <c r="B2" s="3" t="s">
        <v>2</v>
      </c>
      <c r="C2" s="6">
        <f>ROUND(DATE(A1,4,MOD(234-11*MOD(A1,19),30))/7,0)*7-6</f>
        <v>44290</v>
      </c>
      <c r="D2" s="6"/>
    </row>
    <row r="3" spans="1:4" x14ac:dyDescent="0.35">
      <c r="A3" s="2"/>
      <c r="B3" s="3" t="s">
        <v>3</v>
      </c>
      <c r="C3" s="6">
        <f>C2+1</f>
        <v>44291</v>
      </c>
      <c r="D3" s="6"/>
    </row>
    <row r="4" spans="1:4" x14ac:dyDescent="0.35">
      <c r="A4" s="2"/>
      <c r="B4" s="3" t="s">
        <v>4</v>
      </c>
      <c r="C4" s="6">
        <f>DATE(A1,5,1)</f>
        <v>44317</v>
      </c>
      <c r="D4" s="6"/>
    </row>
    <row r="5" spans="1:4" x14ac:dyDescent="0.35">
      <c r="A5" s="2"/>
      <c r="B5" s="3" t="s">
        <v>5</v>
      </c>
      <c r="C5" s="6">
        <f>DATE(A1,5,8)</f>
        <v>44324</v>
      </c>
      <c r="D5" s="6"/>
    </row>
    <row r="6" spans="1:4" x14ac:dyDescent="0.35">
      <c r="A6" s="2"/>
      <c r="B6" s="3" t="s">
        <v>6</v>
      </c>
      <c r="C6" s="6">
        <f>C2+39</f>
        <v>44329</v>
      </c>
      <c r="D6" s="6"/>
    </row>
    <row r="7" spans="1:4" x14ac:dyDescent="0.35">
      <c r="A7" s="2"/>
      <c r="B7" s="3" t="s">
        <v>7</v>
      </c>
      <c r="C7" s="6">
        <f>C2+50</f>
        <v>44340</v>
      </c>
      <c r="D7" s="6"/>
    </row>
    <row r="8" spans="1:4" x14ac:dyDescent="0.35">
      <c r="A8" s="2"/>
      <c r="B8" s="3" t="s">
        <v>8</v>
      </c>
      <c r="C8" s="6">
        <f>DATE(A1,7,14)</f>
        <v>44391</v>
      </c>
      <c r="D8" s="6"/>
    </row>
    <row r="9" spans="1:4" x14ac:dyDescent="0.35">
      <c r="A9" s="2"/>
      <c r="B9" s="3" t="s">
        <v>9</v>
      </c>
      <c r="C9" s="6">
        <f>DATE(A1,8,15)</f>
        <v>44423</v>
      </c>
      <c r="D9" s="6"/>
    </row>
    <row r="10" spans="1:4" x14ac:dyDescent="0.35">
      <c r="A10" s="2"/>
      <c r="B10" s="3" t="s">
        <v>10</v>
      </c>
      <c r="C10" s="6">
        <f>DATE(A1,11,1)</f>
        <v>44501</v>
      </c>
      <c r="D10" s="6"/>
    </row>
    <row r="11" spans="1:4" x14ac:dyDescent="0.35">
      <c r="A11" s="2"/>
      <c r="B11" s="3" t="s">
        <v>11</v>
      </c>
      <c r="C11" s="6">
        <f>DATE(A1,11,11)</f>
        <v>44511</v>
      </c>
      <c r="D11" s="6"/>
    </row>
    <row r="12" spans="1:4" x14ac:dyDescent="0.35">
      <c r="A12" s="2"/>
      <c r="B12" s="3" t="s">
        <v>12</v>
      </c>
      <c r="C12" s="6">
        <f>DATE(A1,12,25)</f>
        <v>44555</v>
      </c>
      <c r="D12" s="6"/>
    </row>
    <row r="13" spans="1:4" x14ac:dyDescent="0.35">
      <c r="A13" s="1">
        <f>+A1+1</f>
        <v>2022</v>
      </c>
      <c r="B13" s="3" t="s">
        <v>1</v>
      </c>
      <c r="C13" s="6">
        <f>DATE(A13,1,1)</f>
        <v>44562</v>
      </c>
      <c r="D13" s="6"/>
    </row>
    <row r="14" spans="1:4" x14ac:dyDescent="0.35">
      <c r="A14" s="2"/>
      <c r="B14" s="3" t="s">
        <v>2</v>
      </c>
      <c r="C14" s="6">
        <f>ROUND(DATE(A13,4,MOD(234-11*MOD(A13,19),30))/7,0)*7-6</f>
        <v>44668</v>
      </c>
      <c r="D14" s="6"/>
    </row>
    <row r="15" spans="1:4" x14ac:dyDescent="0.35">
      <c r="A15" s="2"/>
      <c r="B15" s="3" t="s">
        <v>3</v>
      </c>
      <c r="C15" s="6">
        <f>C14+1</f>
        <v>44669</v>
      </c>
      <c r="D15" s="6"/>
    </row>
    <row r="16" spans="1:4" x14ac:dyDescent="0.35">
      <c r="A16" s="2"/>
      <c r="B16" s="3" t="s">
        <v>4</v>
      </c>
      <c r="C16" s="6">
        <f>DATE(A13,5,1)</f>
        <v>44682</v>
      </c>
      <c r="D16" s="6"/>
    </row>
    <row r="17" spans="1:4" x14ac:dyDescent="0.35">
      <c r="A17" s="2"/>
      <c r="B17" s="3" t="s">
        <v>5</v>
      </c>
      <c r="C17" s="6">
        <f>DATE(A13,5,8)</f>
        <v>44689</v>
      </c>
      <c r="D17" s="6"/>
    </row>
    <row r="18" spans="1:4" x14ac:dyDescent="0.35">
      <c r="A18" s="2"/>
      <c r="B18" s="3" t="s">
        <v>6</v>
      </c>
      <c r="C18" s="6">
        <f>C14+39</f>
        <v>44707</v>
      </c>
      <c r="D18" s="6"/>
    </row>
    <row r="19" spans="1:4" x14ac:dyDescent="0.35">
      <c r="A19" s="2"/>
      <c r="B19" s="3" t="s">
        <v>7</v>
      </c>
      <c r="C19" s="6">
        <f>C14+50</f>
        <v>44718</v>
      </c>
      <c r="D19" s="6"/>
    </row>
    <row r="20" spans="1:4" x14ac:dyDescent="0.35">
      <c r="A20" s="2"/>
      <c r="B20" s="3" t="s">
        <v>8</v>
      </c>
      <c r="C20" s="6">
        <f>DATE(A13,7,14)</f>
        <v>44756</v>
      </c>
      <c r="D20" s="6"/>
    </row>
    <row r="21" spans="1:4" x14ac:dyDescent="0.35">
      <c r="A21" s="2"/>
      <c r="B21" s="3" t="s">
        <v>9</v>
      </c>
      <c r="C21" s="6">
        <f>DATE(A13,8,15)</f>
        <v>44788</v>
      </c>
      <c r="D21" s="6"/>
    </row>
    <row r="22" spans="1:4" x14ac:dyDescent="0.35">
      <c r="A22" s="2"/>
      <c r="B22" s="3" t="s">
        <v>10</v>
      </c>
      <c r="C22" s="6">
        <f>DATE(A13,11,1)</f>
        <v>44866</v>
      </c>
      <c r="D22" s="6"/>
    </row>
    <row r="23" spans="1:4" x14ac:dyDescent="0.35">
      <c r="A23" s="2"/>
      <c r="B23" s="3" t="s">
        <v>11</v>
      </c>
      <c r="C23" s="6">
        <f>DATE(A13,11,11)</f>
        <v>44876</v>
      </c>
      <c r="D23" s="6"/>
    </row>
    <row r="24" spans="1:4" x14ac:dyDescent="0.35">
      <c r="A24" s="2"/>
      <c r="B24" s="3" t="s">
        <v>12</v>
      </c>
      <c r="C24" s="6">
        <f>DATE(A13,12,25)</f>
        <v>44920</v>
      </c>
      <c r="D24" s="6"/>
    </row>
    <row r="25" spans="1:4" x14ac:dyDescent="0.35">
      <c r="A25" s="1">
        <f>+A13+1</f>
        <v>2023</v>
      </c>
      <c r="B25" s="3" t="s">
        <v>1</v>
      </c>
      <c r="C25" s="6">
        <f>DATE(A25,1,1)</f>
        <v>44927</v>
      </c>
      <c r="D25" s="6"/>
    </row>
    <row r="26" spans="1:4" x14ac:dyDescent="0.35">
      <c r="A26" s="2"/>
      <c r="B26" s="3" t="s">
        <v>2</v>
      </c>
      <c r="C26" s="6">
        <f>ROUND(DATE(A25,4,MOD(234-11*MOD(A25,19),30))/7,0)*7-6</f>
        <v>45025</v>
      </c>
      <c r="D26" s="6"/>
    </row>
    <row r="27" spans="1:4" x14ac:dyDescent="0.35">
      <c r="A27" s="2"/>
      <c r="B27" s="3" t="s">
        <v>3</v>
      </c>
      <c r="C27" s="6">
        <f>C26+1</f>
        <v>45026</v>
      </c>
      <c r="D27" s="6"/>
    </row>
    <row r="28" spans="1:4" x14ac:dyDescent="0.35">
      <c r="A28" s="2"/>
      <c r="B28" s="3" t="s">
        <v>4</v>
      </c>
      <c r="C28" s="6">
        <f>DATE(A25,5,1)</f>
        <v>45047</v>
      </c>
      <c r="D28" s="6"/>
    </row>
    <row r="29" spans="1:4" x14ac:dyDescent="0.35">
      <c r="A29" s="2"/>
      <c r="B29" s="3" t="s">
        <v>5</v>
      </c>
      <c r="C29" s="6">
        <f>DATE(A25,5,8)</f>
        <v>45054</v>
      </c>
      <c r="D29" s="6"/>
    </row>
    <row r="30" spans="1:4" x14ac:dyDescent="0.35">
      <c r="A30" s="2"/>
      <c r="B30" s="3" t="s">
        <v>6</v>
      </c>
      <c r="C30" s="6">
        <f>C26+39</f>
        <v>45064</v>
      </c>
      <c r="D30" s="6"/>
    </row>
    <row r="31" spans="1:4" x14ac:dyDescent="0.35">
      <c r="A31" s="2"/>
      <c r="B31" s="3" t="s">
        <v>7</v>
      </c>
      <c r="C31" s="6">
        <f>C26+50</f>
        <v>45075</v>
      </c>
      <c r="D31" s="6"/>
    </row>
    <row r="32" spans="1:4" x14ac:dyDescent="0.35">
      <c r="A32" s="2"/>
      <c r="B32" s="3" t="s">
        <v>8</v>
      </c>
      <c r="C32" s="6">
        <f>DATE(A25,7,14)</f>
        <v>45121</v>
      </c>
      <c r="D32" s="6"/>
    </row>
    <row r="33" spans="1:4" x14ac:dyDescent="0.35">
      <c r="A33" s="2"/>
      <c r="B33" s="3" t="s">
        <v>9</v>
      </c>
      <c r="C33" s="6">
        <f>DATE(A25,8,15)</f>
        <v>45153</v>
      </c>
      <c r="D33" s="6"/>
    </row>
    <row r="34" spans="1:4" x14ac:dyDescent="0.35">
      <c r="A34" s="2"/>
      <c r="B34" s="3" t="s">
        <v>10</v>
      </c>
      <c r="C34" s="6">
        <f>DATE(A25,11,1)</f>
        <v>45231</v>
      </c>
      <c r="D34" s="6"/>
    </row>
    <row r="35" spans="1:4" x14ac:dyDescent="0.35">
      <c r="A35" s="2"/>
      <c r="B35" s="3" t="s">
        <v>11</v>
      </c>
      <c r="C35" s="6">
        <f>DATE(A25,11,11)</f>
        <v>45241</v>
      </c>
      <c r="D35" s="6"/>
    </row>
    <row r="36" spans="1:4" x14ac:dyDescent="0.35">
      <c r="A36" s="2"/>
      <c r="B36" s="3" t="s">
        <v>12</v>
      </c>
      <c r="C36" s="6">
        <f>DATE(A25,12,25)</f>
        <v>45285</v>
      </c>
      <c r="D36" s="6"/>
    </row>
    <row r="37" spans="1:4" x14ac:dyDescent="0.35">
      <c r="A37" s="1">
        <f>+A25+1</f>
        <v>2024</v>
      </c>
      <c r="B37" s="3" t="s">
        <v>1</v>
      </c>
      <c r="C37" s="6">
        <f>DATE(A37,1,1)</f>
        <v>45292</v>
      </c>
      <c r="D37" s="6"/>
    </row>
    <row r="38" spans="1:4" x14ac:dyDescent="0.35">
      <c r="A38" s="2"/>
      <c r="B38" s="3" t="s">
        <v>2</v>
      </c>
      <c r="C38" s="6">
        <f>ROUND(DATE(A37,4,MOD(234-11*MOD(A37,19),30))/7,0)*7-6</f>
        <v>45382</v>
      </c>
      <c r="D38" s="6"/>
    </row>
    <row r="39" spans="1:4" x14ac:dyDescent="0.35">
      <c r="A39" s="2"/>
      <c r="B39" s="3" t="s">
        <v>3</v>
      </c>
      <c r="C39" s="6">
        <f>C38+1</f>
        <v>45383</v>
      </c>
      <c r="D39" s="6"/>
    </row>
    <row r="40" spans="1:4" x14ac:dyDescent="0.35">
      <c r="A40" s="2"/>
      <c r="B40" s="3" t="s">
        <v>4</v>
      </c>
      <c r="C40" s="6">
        <f>DATE(A37,5,1)</f>
        <v>45413</v>
      </c>
      <c r="D40" s="6"/>
    </row>
    <row r="41" spans="1:4" x14ac:dyDescent="0.35">
      <c r="A41" s="2"/>
      <c r="B41" s="3" t="s">
        <v>5</v>
      </c>
      <c r="C41" s="6">
        <f>DATE(A37,5,8)</f>
        <v>45420</v>
      </c>
      <c r="D41" s="6"/>
    </row>
    <row r="42" spans="1:4" x14ac:dyDescent="0.35">
      <c r="A42" s="2"/>
      <c r="B42" s="3" t="s">
        <v>6</v>
      </c>
      <c r="C42" s="6">
        <f>C38+39</f>
        <v>45421</v>
      </c>
      <c r="D42" s="6"/>
    </row>
    <row r="43" spans="1:4" x14ac:dyDescent="0.35">
      <c r="A43" s="2"/>
      <c r="B43" s="3" t="s">
        <v>7</v>
      </c>
      <c r="C43" s="6">
        <f>C38+50</f>
        <v>45432</v>
      </c>
      <c r="D43" s="6"/>
    </row>
    <row r="44" spans="1:4" x14ac:dyDescent="0.35">
      <c r="A44" s="2"/>
      <c r="B44" s="3" t="s">
        <v>8</v>
      </c>
      <c r="C44" s="6">
        <f>DATE(A37,7,14)</f>
        <v>45487</v>
      </c>
      <c r="D44" s="6"/>
    </row>
    <row r="45" spans="1:4" x14ac:dyDescent="0.35">
      <c r="A45" s="2"/>
      <c r="B45" s="3" t="s">
        <v>9</v>
      </c>
      <c r="C45" s="6">
        <f>DATE(A37,8,15)</f>
        <v>45519</v>
      </c>
      <c r="D45" s="6"/>
    </row>
    <row r="46" spans="1:4" x14ac:dyDescent="0.35">
      <c r="A46" s="2"/>
      <c r="B46" s="3" t="s">
        <v>10</v>
      </c>
      <c r="C46" s="6">
        <f>DATE(A37,11,1)</f>
        <v>45597</v>
      </c>
      <c r="D46" s="6"/>
    </row>
    <row r="47" spans="1:4" x14ac:dyDescent="0.35">
      <c r="A47" s="2"/>
      <c r="B47" s="3" t="s">
        <v>11</v>
      </c>
      <c r="C47" s="6">
        <f>DATE(A37,11,11)</f>
        <v>45607</v>
      </c>
      <c r="D47" s="6"/>
    </row>
    <row r="48" spans="1:4" x14ac:dyDescent="0.35">
      <c r="A48" s="2"/>
      <c r="B48" s="3" t="s">
        <v>12</v>
      </c>
      <c r="C48" s="6">
        <f>DATE(A37,12,25)</f>
        <v>45651</v>
      </c>
      <c r="D48" s="6"/>
    </row>
    <row r="49" spans="1:4" x14ac:dyDescent="0.35">
      <c r="A49" s="1">
        <f>+A37+1</f>
        <v>2025</v>
      </c>
      <c r="B49" s="3" t="s">
        <v>1</v>
      </c>
      <c r="C49" s="6">
        <f>DATE(A49,1,1)</f>
        <v>45658</v>
      </c>
      <c r="D49" s="6"/>
    </row>
    <row r="50" spans="1:4" x14ac:dyDescent="0.35">
      <c r="A50" s="2"/>
      <c r="B50" s="3" t="s">
        <v>2</v>
      </c>
      <c r="C50" s="6">
        <f>ROUND(DATE(A49,4,MOD(234-11*MOD(A49,19),30))/7,0)*7-6</f>
        <v>45767</v>
      </c>
      <c r="D50" s="6"/>
    </row>
    <row r="51" spans="1:4" x14ac:dyDescent="0.35">
      <c r="A51" s="2"/>
      <c r="B51" s="3" t="s">
        <v>3</v>
      </c>
      <c r="C51" s="6">
        <f>C50+1</f>
        <v>45768</v>
      </c>
      <c r="D51" s="6"/>
    </row>
    <row r="52" spans="1:4" x14ac:dyDescent="0.35">
      <c r="A52" s="2"/>
      <c r="B52" s="3" t="s">
        <v>4</v>
      </c>
      <c r="C52" s="6">
        <f>DATE(A49,5,1)</f>
        <v>45778</v>
      </c>
      <c r="D52" s="6"/>
    </row>
    <row r="53" spans="1:4" x14ac:dyDescent="0.35">
      <c r="A53" s="2"/>
      <c r="B53" s="3" t="s">
        <v>5</v>
      </c>
      <c r="C53" s="6">
        <f>DATE(A49,5,8)</f>
        <v>45785</v>
      </c>
      <c r="D53" s="6"/>
    </row>
    <row r="54" spans="1:4" x14ac:dyDescent="0.35">
      <c r="A54" s="2"/>
      <c r="B54" s="3" t="s">
        <v>6</v>
      </c>
      <c r="C54" s="6">
        <f>C50+39</f>
        <v>45806</v>
      </c>
      <c r="D54" s="6"/>
    </row>
    <row r="55" spans="1:4" x14ac:dyDescent="0.35">
      <c r="A55" s="2"/>
      <c r="B55" s="3" t="s">
        <v>7</v>
      </c>
      <c r="C55" s="6">
        <f>C50+50</f>
        <v>45817</v>
      </c>
      <c r="D55" s="6"/>
    </row>
    <row r="56" spans="1:4" x14ac:dyDescent="0.35">
      <c r="A56" s="2"/>
      <c r="B56" s="3" t="s">
        <v>8</v>
      </c>
      <c r="C56" s="6">
        <f>DATE(A49,7,14)</f>
        <v>45852</v>
      </c>
      <c r="D56" s="6"/>
    </row>
    <row r="57" spans="1:4" x14ac:dyDescent="0.35">
      <c r="A57" s="2"/>
      <c r="B57" s="3" t="s">
        <v>9</v>
      </c>
      <c r="C57" s="6">
        <f>DATE(A49,8,15)</f>
        <v>45884</v>
      </c>
      <c r="D57" s="6"/>
    </row>
    <row r="58" spans="1:4" x14ac:dyDescent="0.35">
      <c r="A58" s="2"/>
      <c r="B58" s="3" t="s">
        <v>10</v>
      </c>
      <c r="C58" s="6">
        <f>DATE(A49,11,1)</f>
        <v>45962</v>
      </c>
      <c r="D58" s="6"/>
    </row>
    <row r="59" spans="1:4" x14ac:dyDescent="0.35">
      <c r="A59" s="2"/>
      <c r="B59" s="3" t="s">
        <v>11</v>
      </c>
      <c r="C59" s="6">
        <f>DATE(A49,11,11)</f>
        <v>45972</v>
      </c>
      <c r="D59" s="6"/>
    </row>
    <row r="60" spans="1:4" x14ac:dyDescent="0.35">
      <c r="A60" s="2"/>
      <c r="B60" s="3" t="s">
        <v>12</v>
      </c>
      <c r="C60" s="6">
        <f>DATE(A49,12,25)</f>
        <v>46016</v>
      </c>
      <c r="D6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activeCell="A5" sqref="A5:A7"/>
    </sheetView>
  </sheetViews>
  <sheetFormatPr baseColWidth="10" defaultRowHeight="14.5" x14ac:dyDescent="0.35"/>
  <cols>
    <col min="1" max="1" width="21.7265625" customWidth="1"/>
    <col min="2" max="9" width="12.08984375" customWidth="1"/>
  </cols>
  <sheetData>
    <row r="1" spans="1:9" x14ac:dyDescent="0.35">
      <c r="A1" t="s">
        <v>13</v>
      </c>
      <c r="B1" s="5">
        <v>0.91666666666666663</v>
      </c>
    </row>
    <row r="2" spans="1:9" x14ac:dyDescent="0.35">
      <c r="A2" t="s">
        <v>14</v>
      </c>
      <c r="B2" s="5">
        <v>0.25</v>
      </c>
    </row>
    <row r="4" spans="1:9" x14ac:dyDescent="0.35">
      <c r="A4" t="s">
        <v>22</v>
      </c>
      <c r="B4" t="s">
        <v>23</v>
      </c>
    </row>
    <row r="5" spans="1:9" x14ac:dyDescent="0.35">
      <c r="A5" t="s">
        <v>53</v>
      </c>
      <c r="B5">
        <v>15</v>
      </c>
    </row>
    <row r="6" spans="1:9" x14ac:dyDescent="0.35">
      <c r="A6" t="s">
        <v>54</v>
      </c>
      <c r="B6">
        <v>12</v>
      </c>
    </row>
    <row r="7" spans="1:9" x14ac:dyDescent="0.35">
      <c r="A7" t="s">
        <v>55</v>
      </c>
      <c r="B7">
        <v>23</v>
      </c>
    </row>
    <row r="14" spans="1:9" s="11" customFormat="1" ht="43.5" x14ac:dyDescent="0.35">
      <c r="A14" s="11" t="s">
        <v>21</v>
      </c>
      <c r="B14" s="11" t="s">
        <v>36</v>
      </c>
      <c r="C14" s="11" t="s">
        <v>37</v>
      </c>
      <c r="D14" s="11" t="s">
        <v>38</v>
      </c>
      <c r="E14" s="11" t="s">
        <v>39</v>
      </c>
      <c r="F14" s="11" t="s">
        <v>28</v>
      </c>
      <c r="G14" s="11" t="s">
        <v>40</v>
      </c>
      <c r="H14" s="11" t="s">
        <v>41</v>
      </c>
      <c r="I14" s="11" t="s">
        <v>42</v>
      </c>
    </row>
    <row r="15" spans="1:9" x14ac:dyDescent="0.35">
      <c r="A15" t="s">
        <v>51</v>
      </c>
      <c r="B15">
        <v>17.11</v>
      </c>
      <c r="C15">
        <v>4.9800000000000004</v>
      </c>
      <c r="D15">
        <v>10.11</v>
      </c>
      <c r="E15">
        <v>7.08</v>
      </c>
      <c r="F15">
        <v>4.28</v>
      </c>
      <c r="G15">
        <v>7.53</v>
      </c>
      <c r="H15">
        <v>8.1199999999999992</v>
      </c>
      <c r="I15">
        <v>4.09</v>
      </c>
    </row>
    <row r="16" spans="1:9" x14ac:dyDescent="0.35">
      <c r="A16" t="s">
        <v>52</v>
      </c>
      <c r="B16">
        <v>16.78</v>
      </c>
      <c r="C16">
        <v>5.03</v>
      </c>
      <c r="D16">
        <v>11.12</v>
      </c>
      <c r="E16">
        <v>8.09</v>
      </c>
      <c r="F16">
        <v>4.46</v>
      </c>
      <c r="G16">
        <v>6</v>
      </c>
      <c r="H16">
        <v>6</v>
      </c>
      <c r="I16">
        <v>5.12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1"/>
  <sheetViews>
    <sheetView showZeros="0" tabSelected="1" workbookViewId="0">
      <pane xSplit="5" ySplit="4" topLeftCell="F5" activePane="bottomRight" state="frozen"/>
      <selection pane="topRight" activeCell="I1" sqref="I1"/>
      <selection pane="bottomLeft" activeCell="A5" sqref="A5"/>
      <selection pane="bottomRight" activeCell="A5" sqref="A5"/>
    </sheetView>
  </sheetViews>
  <sheetFormatPr baseColWidth="10" defaultRowHeight="14.5" x14ac:dyDescent="0.35"/>
  <cols>
    <col min="1" max="1" width="9.54296875" style="23" bestFit="1" customWidth="1"/>
    <col min="2" max="5" width="10.54296875" style="24" customWidth="1"/>
    <col min="6" max="10" width="10.54296875" style="30" customWidth="1"/>
    <col min="11" max="11" width="17.54296875" style="24" bestFit="1" customWidth="1"/>
    <col min="12" max="12" width="6.26953125" style="25" bestFit="1" customWidth="1"/>
    <col min="13" max="13" width="14.81640625" style="24" bestFit="1" customWidth="1"/>
    <col min="14" max="14" width="7.7265625" bestFit="1" customWidth="1"/>
    <col min="15" max="15" width="11.36328125" style="25" bestFit="1" customWidth="1"/>
    <col min="16" max="16" width="13" style="24" bestFit="1" customWidth="1"/>
    <col min="17" max="17" width="11.1796875" style="24" bestFit="1" customWidth="1"/>
    <col min="18" max="18" width="13" style="24" bestFit="1" customWidth="1"/>
    <col min="19" max="19" width="12.26953125" style="24" bestFit="1" customWidth="1"/>
    <col min="20" max="20" width="12.453125" style="24" bestFit="1" customWidth="1"/>
    <col min="21" max="21" width="9.90625" style="24" bestFit="1" customWidth="1"/>
    <col min="22" max="22" width="12.81640625" style="24" bestFit="1" customWidth="1"/>
    <col min="23" max="23" width="9.26953125" style="24" bestFit="1" customWidth="1"/>
    <col min="24" max="16384" width="10.90625" style="24"/>
  </cols>
  <sheetData>
    <row r="1" spans="1:23" ht="13" x14ac:dyDescent="0.3">
      <c r="N1" s="25"/>
      <c r="O1" s="24"/>
    </row>
    <row r="2" spans="1:23" ht="13" x14ac:dyDescent="0.3">
      <c r="N2" s="25"/>
      <c r="O2" s="24"/>
    </row>
    <row r="3" spans="1:23" ht="13" x14ac:dyDescent="0.3">
      <c r="N3" s="25"/>
      <c r="O3" s="24"/>
    </row>
    <row r="4" spans="1:23" s="17" customFormat="1" ht="26" x14ac:dyDescent="0.35">
      <c r="A4" s="12" t="s">
        <v>0</v>
      </c>
      <c r="B4" s="13" t="s">
        <v>20</v>
      </c>
      <c r="C4" s="13" t="s">
        <v>17</v>
      </c>
      <c r="D4" s="13" t="s">
        <v>18</v>
      </c>
      <c r="E4" s="13" t="s">
        <v>19</v>
      </c>
      <c r="F4" s="31" t="s">
        <v>34</v>
      </c>
      <c r="G4" s="32" t="s">
        <v>33</v>
      </c>
      <c r="H4" s="32" t="s">
        <v>35</v>
      </c>
      <c r="I4" s="33" t="s">
        <v>32</v>
      </c>
      <c r="J4" s="33" t="s">
        <v>44</v>
      </c>
      <c r="K4" s="14" t="s">
        <v>21</v>
      </c>
      <c r="L4" s="26" t="s">
        <v>43</v>
      </c>
      <c r="M4" s="14" t="s">
        <v>22</v>
      </c>
      <c r="N4" s="15" t="s">
        <v>23</v>
      </c>
      <c r="O4" s="16" t="s">
        <v>24</v>
      </c>
      <c r="P4" s="16" t="s">
        <v>25</v>
      </c>
      <c r="Q4" s="16" t="s">
        <v>26</v>
      </c>
      <c r="R4" s="16" t="s">
        <v>27</v>
      </c>
      <c r="S4" s="16" t="s">
        <v>28</v>
      </c>
      <c r="T4" s="16" t="s">
        <v>29</v>
      </c>
      <c r="U4" s="16" t="s">
        <v>30</v>
      </c>
      <c r="V4" s="16" t="s">
        <v>31</v>
      </c>
      <c r="W4" s="16" t="s">
        <v>45</v>
      </c>
    </row>
    <row r="5" spans="1:23" s="20" customFormat="1" ht="13" x14ac:dyDescent="0.3">
      <c r="A5" s="18">
        <v>44197</v>
      </c>
      <c r="B5" s="7">
        <v>0.35416666666787933</v>
      </c>
      <c r="C5" s="7"/>
      <c r="D5" s="7"/>
      <c r="E5" s="7">
        <v>0.64583333333212067</v>
      </c>
      <c r="F5" s="34">
        <v>0</v>
      </c>
      <c r="G5" s="34">
        <v>0</v>
      </c>
      <c r="H5" s="34">
        <v>0</v>
      </c>
      <c r="I5" s="34">
        <v>6.9999999999417923</v>
      </c>
      <c r="J5" s="34">
        <f>Horaires[[#This Row],[_heures jour fériés]]+Horaires[[#This Row],[_heures jour dimanche]]+Horaires[[#This Row],[_heures de nuit]]+Horaires[[#This Row],[_heures jour]]</f>
        <v>6.9999999999417923</v>
      </c>
      <c r="K5" s="10" t="s">
        <v>52</v>
      </c>
      <c r="L5" s="19">
        <f>MATCH(Horaires[[#This Row],[Boites d''intérim]],TboiteInterim[Boites d''intérim],0)</f>
        <v>2</v>
      </c>
      <c r="M5" s="10" t="s">
        <v>53</v>
      </c>
      <c r="N5" s="19">
        <f>VLOOKUP(Horaires[[#This Row],[Société]],Tsociete[],2,0)</f>
        <v>15</v>
      </c>
      <c r="O5" s="10">
        <f>INDEX(TboiteInterim[Taux de base (par h)],Horaires[[#This Row],['#]])*Horaires[[#This Row],[_total]]</f>
        <v>117.45999999902328</v>
      </c>
      <c r="P5" s="10">
        <f>INDEX(TboiteInterim[Majo Dimanche (par h)],Horaires[[#This Row],['#]])*Horaires[[#This Row],[_heures jour dimanche]]</f>
        <v>0</v>
      </c>
      <c r="Q5" s="10">
        <f>INDEX(TboiteInterim[Majo JF (par h)],Horaires[[#This Row],['#]])*Horaires[[#This Row],[_heures jour fériés]]</f>
        <v>77.839999999352727</v>
      </c>
      <c r="R5" s="10">
        <f>INDEX(TboiteInterim[Majo Nuit (par h)],Horaires[[#This Row],['#]])*Horaires[[#This Row],[_heures de nuit]]</f>
        <v>0</v>
      </c>
      <c r="S5" s="10">
        <f>INDEX(TboiteInterim[Prime RTB/VAC],Horaires[[#This Row],['#]])</f>
        <v>4.46</v>
      </c>
      <c r="T5" s="10">
        <f>IF(Horaires[[#This Row],[_total]]&lt;6,0,INDEX(TboiteInterim[Panier (si &gt;6h) (par j)],Horaires[[#This Row],['#]]))</f>
        <v>6</v>
      </c>
      <c r="U5" s="10">
        <f>INDEX(TboiteInterim[Repas (par j)],Horaires[[#This Row],['#]])</f>
        <v>6</v>
      </c>
      <c r="V5" s="10">
        <f>INDEX(TboiteInterim[Transport (par km)],Horaires[[#This Row],['#]])*Horaires[[#This Row],[km]]</f>
        <v>76.8</v>
      </c>
      <c r="W5" s="10">
        <f>SUM(Horaires[[#This Row],[Taux de base]:[Transport]])</f>
        <v>288.55999999837599</v>
      </c>
    </row>
    <row r="6" spans="1:23" s="20" customFormat="1" ht="13" x14ac:dyDescent="0.3">
      <c r="A6" s="18">
        <v>44199</v>
      </c>
      <c r="B6" s="7">
        <v>0.375</v>
      </c>
      <c r="C6" s="7"/>
      <c r="D6" s="7"/>
      <c r="E6" s="7">
        <v>0.95833333333333337</v>
      </c>
      <c r="F6" s="34">
        <v>0</v>
      </c>
      <c r="G6" s="34">
        <v>1.0000000000000018</v>
      </c>
      <c r="H6" s="34">
        <v>13</v>
      </c>
      <c r="I6" s="34">
        <v>0</v>
      </c>
      <c r="J6" s="34">
        <f>Horaires[[#This Row],[_heures jour fériés]]+Horaires[[#This Row],[_heures jour dimanche]]+Horaires[[#This Row],[_heures de nuit]]+Horaires[[#This Row],[_heures jour]]</f>
        <v>14.000000000000002</v>
      </c>
      <c r="K6" s="10" t="s">
        <v>51</v>
      </c>
      <c r="L6" s="19">
        <f>MATCH(Horaires[[#This Row],[Boites d''intérim]],TboiteInterim[Boites d''intérim],0)</f>
        <v>1</v>
      </c>
      <c r="M6" s="10" t="s">
        <v>54</v>
      </c>
      <c r="N6" s="19">
        <f>VLOOKUP(Horaires[[#This Row],[Société]],Tsociete[],2,0)</f>
        <v>12</v>
      </c>
      <c r="O6" s="10">
        <f>INDEX(TboiteInterim[Taux de base (par h)],Horaires[[#This Row],['#]])*Horaires[[#This Row],[_total]]</f>
        <v>239.54000000000002</v>
      </c>
      <c r="P6" s="10">
        <f>INDEX(TboiteInterim[Majo Dimanche (par h)],Horaires[[#This Row],['#]])*Horaires[[#This Row],[_heures jour dimanche]]</f>
        <v>64.740000000000009</v>
      </c>
      <c r="Q6" s="10">
        <f>INDEX(TboiteInterim[Majo JF (par h)],Horaires[[#This Row],['#]])*Horaires[[#This Row],[_heures jour fériés]]</f>
        <v>0</v>
      </c>
      <c r="R6" s="10">
        <f>INDEX(TboiteInterim[Majo Nuit (par h)],Horaires[[#This Row],['#]])*Horaires[[#This Row],[_heures de nuit]]</f>
        <v>7.0800000000000125</v>
      </c>
      <c r="S6" s="10">
        <f>INDEX(TboiteInterim[Prime RTB/VAC],Horaires[[#This Row],['#]])</f>
        <v>4.28</v>
      </c>
      <c r="T6" s="10">
        <f>IF(Horaires[[#This Row],[_total]]&lt;6,0,INDEX(TboiteInterim[Panier (si &gt;6h) (par j)],Horaires[[#This Row],['#]]))</f>
        <v>7.53</v>
      </c>
      <c r="U6" s="10">
        <f>INDEX(TboiteInterim[Repas (par j)],Horaires[[#This Row],['#]])</f>
        <v>8.1199999999999992</v>
      </c>
      <c r="V6" s="10">
        <f>INDEX(TboiteInterim[Transport (par km)],Horaires[[#This Row],['#]])*Horaires[[#This Row],[km]]</f>
        <v>49.08</v>
      </c>
      <c r="W6" s="10">
        <f>SUM(Horaires[[#This Row],[Taux de base]:[Transport]])</f>
        <v>380.36999999999995</v>
      </c>
    </row>
    <row r="7" spans="1:23" s="20" customFormat="1" ht="13" x14ac:dyDescent="0.3">
      <c r="A7" s="18">
        <v>44324</v>
      </c>
      <c r="B7" s="7">
        <v>0.75</v>
      </c>
      <c r="C7" s="7"/>
      <c r="D7" s="7"/>
      <c r="E7" s="7">
        <v>0.41666666666666669</v>
      </c>
      <c r="F7" s="34">
        <v>0</v>
      </c>
      <c r="G7" s="34">
        <v>6</v>
      </c>
      <c r="H7" s="34">
        <v>4</v>
      </c>
      <c r="I7" s="34">
        <v>6</v>
      </c>
      <c r="J7" s="34">
        <f>Horaires[[#This Row],[_heures jour fériés]]+Horaires[[#This Row],[_heures jour dimanche]]+Horaires[[#This Row],[_heures de nuit]]+Horaires[[#This Row],[_heures jour]]</f>
        <v>16</v>
      </c>
      <c r="K7" s="10" t="s">
        <v>51</v>
      </c>
      <c r="L7" s="19">
        <f>MATCH(Horaires[[#This Row],[Boites d''intérim]],TboiteInterim[Boites d''intérim],0)</f>
        <v>1</v>
      </c>
      <c r="M7" s="10" t="s">
        <v>53</v>
      </c>
      <c r="N7" s="19">
        <f>VLOOKUP(Horaires[[#This Row],[Société]],Tsociete[],2,0)</f>
        <v>15</v>
      </c>
      <c r="O7" s="10">
        <f>INDEX(TboiteInterim[Taux de base (par h)],Horaires[[#This Row],['#]])*Horaires[[#This Row],[_total]]</f>
        <v>273.76</v>
      </c>
      <c r="P7" s="10">
        <f>INDEX(TboiteInterim[Majo Dimanche (par h)],Horaires[[#This Row],['#]])*Horaires[[#This Row],[_heures jour dimanche]]</f>
        <v>19.920000000000002</v>
      </c>
      <c r="Q7" s="10">
        <f>INDEX(TboiteInterim[Majo JF (par h)],Horaires[[#This Row],['#]])*Horaires[[#This Row],[_heures jour fériés]]</f>
        <v>60.66</v>
      </c>
      <c r="R7" s="10">
        <f>INDEX(TboiteInterim[Majo Nuit (par h)],Horaires[[#This Row],['#]])*Horaires[[#This Row],[_heures de nuit]]</f>
        <v>42.480000000000004</v>
      </c>
      <c r="S7" s="10">
        <f>INDEX(TboiteInterim[Prime RTB/VAC],Horaires[[#This Row],['#]])</f>
        <v>4.28</v>
      </c>
      <c r="T7" s="10">
        <f>IF(Horaires[[#This Row],[_total]]&lt;6,0,INDEX(TboiteInterim[Panier (si &gt;6h) (par j)],Horaires[[#This Row],['#]]))</f>
        <v>7.53</v>
      </c>
      <c r="U7" s="10">
        <f>INDEX(TboiteInterim[Repas (par j)],Horaires[[#This Row],['#]])</f>
        <v>8.1199999999999992</v>
      </c>
      <c r="V7" s="10">
        <f>INDEX(TboiteInterim[Transport (par km)],Horaires[[#This Row],['#]])*Horaires[[#This Row],[km]]</f>
        <v>61.349999999999994</v>
      </c>
      <c r="W7" s="10">
        <f>SUM(Horaires[[#This Row],[Taux de base]:[Transport]])</f>
        <v>478.1</v>
      </c>
    </row>
    <row r="8" spans="1:23" s="20" customFormat="1" ht="13" x14ac:dyDescent="0.3">
      <c r="A8" s="18">
        <v>44201</v>
      </c>
      <c r="B8" s="7">
        <v>0.375</v>
      </c>
      <c r="C8" s="7"/>
      <c r="D8" s="7"/>
      <c r="E8" s="7">
        <v>0.54166666666666663</v>
      </c>
      <c r="F8" s="34">
        <v>3.9999999999999991</v>
      </c>
      <c r="G8" s="34">
        <v>0</v>
      </c>
      <c r="H8" s="34">
        <v>0</v>
      </c>
      <c r="I8" s="34">
        <v>0</v>
      </c>
      <c r="J8" s="34">
        <f>Horaires[[#This Row],[_heures jour fériés]]+Horaires[[#This Row],[_heures jour dimanche]]+Horaires[[#This Row],[_heures de nuit]]+Horaires[[#This Row],[_heures jour]]</f>
        <v>3.9999999999999991</v>
      </c>
      <c r="K8" s="10" t="s">
        <v>52</v>
      </c>
      <c r="L8" s="19">
        <f>MATCH(Horaires[[#This Row],[Boites d''intérim]],TboiteInterim[Boites d''intérim],0)</f>
        <v>2</v>
      </c>
      <c r="M8" s="10" t="s">
        <v>55</v>
      </c>
      <c r="N8" s="19">
        <f>VLOOKUP(Horaires[[#This Row],[Société]],Tsociete[],2,0)</f>
        <v>23</v>
      </c>
      <c r="O8" s="10">
        <f>INDEX(TboiteInterim[Taux de base (par h)],Horaires[[#This Row],['#]])*Horaires[[#This Row],[_total]]</f>
        <v>67.11999999999999</v>
      </c>
      <c r="P8" s="10">
        <f>INDEX(TboiteInterim[Majo Dimanche (par h)],Horaires[[#This Row],['#]])*Horaires[[#This Row],[_heures jour dimanche]]</f>
        <v>0</v>
      </c>
      <c r="Q8" s="10">
        <f>INDEX(TboiteInterim[Majo JF (par h)],Horaires[[#This Row],['#]])*Horaires[[#This Row],[_heures jour fériés]]</f>
        <v>0</v>
      </c>
      <c r="R8" s="10">
        <f>INDEX(TboiteInterim[Majo Nuit (par h)],Horaires[[#This Row],['#]])*Horaires[[#This Row],[_heures de nuit]]</f>
        <v>0</v>
      </c>
      <c r="S8" s="10">
        <f>INDEX(TboiteInterim[Prime RTB/VAC],Horaires[[#This Row],['#]])</f>
        <v>4.46</v>
      </c>
      <c r="T8" s="10">
        <f>IF(Horaires[[#This Row],[_total]]&lt;6,0,INDEX(TboiteInterim[Panier (si &gt;6h) (par j)],Horaires[[#This Row],['#]]))</f>
        <v>0</v>
      </c>
      <c r="U8" s="10">
        <f>INDEX(TboiteInterim[Repas (par j)],Horaires[[#This Row],['#]])</f>
        <v>6</v>
      </c>
      <c r="V8" s="10">
        <f>INDEX(TboiteInterim[Transport (par km)],Horaires[[#This Row],['#]])*Horaires[[#This Row],[km]]</f>
        <v>117.76</v>
      </c>
      <c r="W8" s="10">
        <f>SUM(Horaires[[#This Row],[Taux de base]:[Transport]])</f>
        <v>195.33999999999997</v>
      </c>
    </row>
    <row r="9" spans="1:23" s="20" customFormat="1" ht="13" x14ac:dyDescent="0.3">
      <c r="A9" s="18">
        <v>44202</v>
      </c>
      <c r="B9" s="7">
        <v>0.875</v>
      </c>
      <c r="C9" s="7">
        <v>0.97916666666666663</v>
      </c>
      <c r="D9" s="7">
        <v>2.0833333333333332E-2</v>
      </c>
      <c r="E9" s="7">
        <v>0.375</v>
      </c>
      <c r="F9" s="34">
        <v>3.9999999999999991</v>
      </c>
      <c r="G9" s="34">
        <v>6.9999999999999991</v>
      </c>
      <c r="H9" s="34">
        <v>0</v>
      </c>
      <c r="I9" s="34">
        <v>0</v>
      </c>
      <c r="J9" s="34">
        <f>Horaires[[#This Row],[_heures jour fériés]]+Horaires[[#This Row],[_heures jour dimanche]]+Horaires[[#This Row],[_heures de nuit]]+Horaires[[#This Row],[_heures jour]]</f>
        <v>10.999999999999998</v>
      </c>
      <c r="K9" s="10" t="s">
        <v>51</v>
      </c>
      <c r="L9" s="19">
        <f>MATCH(Horaires[[#This Row],[Boites d''intérim]],TboiteInterim[Boites d''intérim],0)</f>
        <v>1</v>
      </c>
      <c r="M9" s="10" t="s">
        <v>55</v>
      </c>
      <c r="N9" s="19">
        <f>VLOOKUP(Horaires[[#This Row],[Société]],Tsociete[],2,0)</f>
        <v>23</v>
      </c>
      <c r="O9" s="10">
        <f>INDEX(TboiteInterim[Taux de base (par h)],Horaires[[#This Row],['#]])*Horaires[[#This Row],[_total]]</f>
        <v>188.20999999999995</v>
      </c>
      <c r="P9" s="10">
        <f>INDEX(TboiteInterim[Majo Dimanche (par h)],Horaires[[#This Row],['#]])*Horaires[[#This Row],[_heures jour dimanche]]</f>
        <v>0</v>
      </c>
      <c r="Q9" s="10">
        <f>INDEX(TboiteInterim[Majo JF (par h)],Horaires[[#This Row],['#]])*Horaires[[#This Row],[_heures jour fériés]]</f>
        <v>0</v>
      </c>
      <c r="R9" s="10">
        <f>INDEX(TboiteInterim[Majo Nuit (par h)],Horaires[[#This Row],['#]])*Horaires[[#This Row],[_heures de nuit]]</f>
        <v>49.559999999999995</v>
      </c>
      <c r="S9" s="10">
        <f>INDEX(TboiteInterim[Prime RTB/VAC],Horaires[[#This Row],['#]])</f>
        <v>4.28</v>
      </c>
      <c r="T9" s="10">
        <f>IF(Horaires[[#This Row],[_total]]&lt;6,0,INDEX(TboiteInterim[Panier (si &gt;6h) (par j)],Horaires[[#This Row],['#]]))</f>
        <v>7.53</v>
      </c>
      <c r="U9" s="10">
        <f>INDEX(TboiteInterim[Repas (par j)],Horaires[[#This Row],['#]])</f>
        <v>8.1199999999999992</v>
      </c>
      <c r="V9" s="10">
        <f>INDEX(TboiteInterim[Transport (par km)],Horaires[[#This Row],['#]])*Horaires[[#This Row],[km]]</f>
        <v>94.07</v>
      </c>
      <c r="W9" s="10">
        <f>SUM(Horaires[[#This Row],[Taux de base]:[Transport]])</f>
        <v>351.76999999999992</v>
      </c>
    </row>
    <row r="10" spans="1:23" s="20" customFormat="1" ht="13" x14ac:dyDescent="0.3">
      <c r="A10" s="18">
        <v>44203</v>
      </c>
      <c r="B10" s="7">
        <v>0.35416666666666669</v>
      </c>
      <c r="C10" s="7">
        <v>0.5</v>
      </c>
      <c r="D10" s="7">
        <v>0.54166666666666663</v>
      </c>
      <c r="E10" s="7">
        <v>0.66666666666666663</v>
      </c>
      <c r="F10" s="34">
        <v>6.5</v>
      </c>
      <c r="G10" s="34">
        <v>0</v>
      </c>
      <c r="H10" s="34">
        <v>0</v>
      </c>
      <c r="I10" s="34">
        <v>0</v>
      </c>
      <c r="J10" s="34">
        <f>Horaires[[#This Row],[_heures jour fériés]]+Horaires[[#This Row],[_heures jour dimanche]]+Horaires[[#This Row],[_heures de nuit]]+Horaires[[#This Row],[_heures jour]]</f>
        <v>6.5</v>
      </c>
      <c r="K10" s="10" t="s">
        <v>51</v>
      </c>
      <c r="L10" s="19">
        <f>MATCH(Horaires[[#This Row],[Boites d''intérim]],TboiteInterim[Boites d''intérim],0)</f>
        <v>1</v>
      </c>
      <c r="M10" s="10" t="s">
        <v>55</v>
      </c>
      <c r="N10" s="19">
        <f>VLOOKUP(Horaires[[#This Row],[Société]],Tsociete[],2,0)</f>
        <v>23</v>
      </c>
      <c r="O10" s="10">
        <f>INDEX(TboiteInterim[Taux de base (par h)],Horaires[[#This Row],['#]])*Horaires[[#This Row],[_total]]</f>
        <v>111.215</v>
      </c>
      <c r="P10" s="10">
        <f>INDEX(TboiteInterim[Majo Dimanche (par h)],Horaires[[#This Row],['#]])*Horaires[[#This Row],[_heures jour dimanche]]</f>
        <v>0</v>
      </c>
      <c r="Q10" s="10">
        <f>INDEX(TboiteInterim[Majo JF (par h)],Horaires[[#This Row],['#]])*Horaires[[#This Row],[_heures jour fériés]]</f>
        <v>0</v>
      </c>
      <c r="R10" s="10">
        <f>INDEX(TboiteInterim[Majo Nuit (par h)],Horaires[[#This Row],['#]])*Horaires[[#This Row],[_heures de nuit]]</f>
        <v>0</v>
      </c>
      <c r="S10" s="10">
        <f>INDEX(TboiteInterim[Prime RTB/VAC],Horaires[[#This Row],['#]])</f>
        <v>4.28</v>
      </c>
      <c r="T10" s="10">
        <f>IF(Horaires[[#This Row],[_total]]&lt;6,0,INDEX(TboiteInterim[Panier (si &gt;6h) (par j)],Horaires[[#This Row],['#]]))</f>
        <v>7.53</v>
      </c>
      <c r="U10" s="10">
        <f>INDEX(TboiteInterim[Repas (par j)],Horaires[[#This Row],['#]])</f>
        <v>8.1199999999999992</v>
      </c>
      <c r="V10" s="10">
        <f>INDEX(TboiteInterim[Transport (par km)],Horaires[[#This Row],['#]])*Horaires[[#This Row],[km]]</f>
        <v>94.07</v>
      </c>
      <c r="W10" s="10">
        <f>SUM(Horaires[[#This Row],[Taux de base]:[Transport]])</f>
        <v>225.215</v>
      </c>
    </row>
    <row r="11" spans="1:23" s="20" customFormat="1" ht="13" x14ac:dyDescent="0.3">
      <c r="A11" s="21"/>
      <c r="F11" s="35"/>
      <c r="G11" s="35"/>
      <c r="H11" s="35"/>
      <c r="I11" s="35"/>
      <c r="J11" s="35"/>
      <c r="L11" s="22"/>
      <c r="O11" s="22"/>
    </row>
  </sheetData>
  <conditionalFormatting sqref="A5:W10">
    <cfRule type="expression" dxfId="29" priority="1">
      <formula>WEEKDAY($A5,2)&gt;6</formula>
    </cfRule>
    <cfRule type="expression" dxfId="28" priority="2">
      <formula>COUNTIF(JF,$A5)</formula>
    </cfRule>
  </conditionalFormatting>
  <dataValidations count="1">
    <dataValidation type="time" allowBlank="1" showInputMessage="1" showErrorMessage="1" error="Tapez les heures sous le format_x000a_00:00" sqref="B5:E10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parametres!$A$5:$A$7</xm:f>
          </x14:formula1>
          <xm:sqref>M5:M10</xm:sqref>
        </x14:dataValidation>
        <x14:dataValidation type="list" allowBlank="1" showInputMessage="1" showErrorMessage="1">
          <x14:formula1>
            <xm:f>parametres!$A$15:$A$16</xm:f>
          </x14:formula1>
          <xm:sqref>K5:K10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D8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5.90625" bestFit="1" customWidth="1"/>
    <col min="4" max="4" width="11.7265625" bestFit="1" customWidth="1"/>
  </cols>
  <sheetData>
    <row r="3" spans="1:4" x14ac:dyDescent="0.35">
      <c r="A3" s="8" t="s">
        <v>46</v>
      </c>
      <c r="B3" s="8" t="s">
        <v>49</v>
      </c>
    </row>
    <row r="4" spans="1:4" x14ac:dyDescent="0.35">
      <c r="A4" s="8" t="s">
        <v>15</v>
      </c>
      <c r="B4" t="s">
        <v>52</v>
      </c>
      <c r="C4" t="s">
        <v>51</v>
      </c>
      <c r="D4" t="s">
        <v>16</v>
      </c>
    </row>
    <row r="5" spans="1:4" x14ac:dyDescent="0.35">
      <c r="A5" s="9" t="s">
        <v>47</v>
      </c>
      <c r="B5" s="28"/>
      <c r="C5" s="28"/>
      <c r="D5" s="28"/>
    </row>
    <row r="6" spans="1:4" x14ac:dyDescent="0.35">
      <c r="A6" s="27" t="s">
        <v>48</v>
      </c>
      <c r="B6" s="28">
        <v>483.89999999837596</v>
      </c>
      <c r="C6" s="28">
        <v>957.3549999999999</v>
      </c>
      <c r="D6" s="28">
        <v>1441.2549999983758</v>
      </c>
    </row>
    <row r="7" spans="1:4" x14ac:dyDescent="0.35">
      <c r="A7" s="27" t="s">
        <v>56</v>
      </c>
      <c r="B7" s="28"/>
      <c r="C7" s="28">
        <v>478.1</v>
      </c>
      <c r="D7" s="28">
        <v>478.1</v>
      </c>
    </row>
    <row r="8" spans="1:4" x14ac:dyDescent="0.35">
      <c r="A8" s="9" t="s">
        <v>16</v>
      </c>
      <c r="B8" s="28">
        <v>483.89999999837596</v>
      </c>
      <c r="C8" s="28">
        <v>1435.4549999999999</v>
      </c>
      <c r="D8" s="28">
        <v>1919.3549999983757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8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4" width="7.36328125" bestFit="1" customWidth="1"/>
    <col min="5" max="5" width="11.7265625" bestFit="1" customWidth="1"/>
  </cols>
  <sheetData>
    <row r="3" spans="1:5" x14ac:dyDescent="0.35">
      <c r="A3" s="8" t="s">
        <v>50</v>
      </c>
      <c r="B3" s="8" t="s">
        <v>49</v>
      </c>
    </row>
    <row r="4" spans="1:5" x14ac:dyDescent="0.35">
      <c r="A4" s="8" t="s">
        <v>15</v>
      </c>
      <c r="B4" t="s">
        <v>53</v>
      </c>
      <c r="C4" t="s">
        <v>54</v>
      </c>
      <c r="D4" t="s">
        <v>55</v>
      </c>
      <c r="E4" t="s">
        <v>16</v>
      </c>
    </row>
    <row r="5" spans="1:5" x14ac:dyDescent="0.35">
      <c r="A5" s="9" t="s">
        <v>47</v>
      </c>
      <c r="B5" s="29"/>
      <c r="C5" s="29"/>
      <c r="D5" s="29"/>
      <c r="E5" s="29"/>
    </row>
    <row r="6" spans="1:5" x14ac:dyDescent="0.35">
      <c r="A6" s="27" t="s">
        <v>48</v>
      </c>
      <c r="B6" s="29">
        <v>6.9999999999417923</v>
      </c>
      <c r="C6" s="29">
        <v>14.000000000000002</v>
      </c>
      <c r="D6" s="29">
        <v>21.499999999999996</v>
      </c>
      <c r="E6" s="29">
        <v>42.499999999941792</v>
      </c>
    </row>
    <row r="7" spans="1:5" x14ac:dyDescent="0.35">
      <c r="A7" s="27" t="s">
        <v>56</v>
      </c>
      <c r="B7" s="29">
        <v>16</v>
      </c>
      <c r="C7" s="29"/>
      <c r="D7" s="29"/>
      <c r="E7" s="29">
        <v>16</v>
      </c>
    </row>
    <row r="8" spans="1:5" x14ac:dyDescent="0.35">
      <c r="A8" s="9" t="s">
        <v>16</v>
      </c>
      <c r="B8" s="29">
        <v>22.999999999941792</v>
      </c>
      <c r="C8" s="29">
        <v>14.000000000000002</v>
      </c>
      <c r="D8" s="29">
        <v>21.499999999999996</v>
      </c>
      <c r="E8" s="29">
        <v>58.499999999941792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JF</vt:lpstr>
      <vt:lpstr>parametres</vt:lpstr>
      <vt:lpstr>horaires</vt:lpstr>
      <vt:lpstr>synthèse €</vt:lpstr>
      <vt:lpstr>synthèse heures</vt:lpstr>
      <vt:lpstr>debNuit</vt:lpstr>
      <vt:lpstr>finNuit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2021-01-05T12:45:16Z</dcterms:modified>
</cp:coreProperties>
</file>