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TCD" sheetId="5" r:id="rId1"/>
    <sheet name="Modèle" sheetId="4" r:id="rId2"/>
  </sheets>
  <definedNames>
    <definedName name="Segment_Années">#N/A</definedName>
  </definedNames>
  <calcPr calcId="152511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4" l="1"/>
  <c r="N6" i="4"/>
  <c r="N2" i="4"/>
  <c r="Z6" i="4" l="1"/>
  <c r="Y6" i="4"/>
  <c r="X6" i="4"/>
  <c r="W6" i="4"/>
  <c r="W4" i="4"/>
  <c r="X4" i="4"/>
  <c r="Y4" i="4"/>
  <c r="Z4" i="4"/>
  <c r="Z2" i="4"/>
  <c r="Y2" i="4"/>
  <c r="X2" i="4"/>
  <c r="W2" i="4"/>
  <c r="T6" i="4"/>
  <c r="R6" i="4"/>
  <c r="P6" i="4"/>
  <c r="T4" i="4"/>
  <c r="R4" i="4"/>
  <c r="P4" i="4"/>
  <c r="T2" i="4"/>
  <c r="R2" i="4"/>
  <c r="P2" i="4"/>
  <c r="O3" i="4" l="1"/>
  <c r="S6" i="4" l="1"/>
  <c r="Q6" i="4"/>
  <c r="O6" i="4"/>
  <c r="M6" i="4"/>
  <c r="M4" i="4"/>
  <c r="O4" i="4"/>
  <c r="Q4" i="4"/>
  <c r="S4" i="4"/>
  <c r="S2" i="4"/>
  <c r="Q2" i="4"/>
  <c r="O2" i="4"/>
  <c r="M2" i="4"/>
  <c r="I1" i="4"/>
  <c r="F1" i="4"/>
  <c r="E1" i="4"/>
  <c r="D1" i="4"/>
  <c r="C1" i="4"/>
  <c r="B1" i="4"/>
  <c r="Z5" i="4"/>
  <c r="Y5" i="4"/>
  <c r="X5" i="4"/>
  <c r="W5" i="4"/>
  <c r="Z3" i="4"/>
  <c r="Y3" i="4"/>
  <c r="X3" i="4"/>
  <c r="W3" i="4"/>
  <c r="Z1" i="4"/>
  <c r="Y1" i="4"/>
  <c r="X1" i="4"/>
  <c r="W1" i="4"/>
  <c r="U4" i="4" l="1"/>
  <c r="Q5" i="4"/>
  <c r="O5" i="4"/>
  <c r="M5" i="4"/>
  <c r="M3" i="4"/>
  <c r="Q3" i="4"/>
  <c r="S5" i="4"/>
  <c r="S3" i="4"/>
  <c r="S1" i="4"/>
  <c r="Q1" i="4"/>
  <c r="O1" i="4"/>
  <c r="H1" i="4"/>
  <c r="M1" i="4"/>
  <c r="E42" i="4" l="1"/>
  <c r="E41" i="4"/>
  <c r="E40" i="4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AE7" i="4"/>
  <c r="AE8" i="4" s="1"/>
  <c r="L2" i="4"/>
  <c r="H3" i="4"/>
  <c r="E3" i="4"/>
  <c r="K2" i="4"/>
  <c r="K4" i="4" s="1" a="1"/>
  <c r="K4" i="4" s="1"/>
  <c r="AE9" i="4" l="1"/>
  <c r="AF8" i="4"/>
  <c r="AF7" i="4"/>
  <c r="AE10" i="4" l="1"/>
  <c r="AF9" i="4"/>
  <c r="AE11" i="4" l="1"/>
  <c r="AF10" i="4"/>
  <c r="AE12" i="4" l="1"/>
  <c r="AF11" i="4"/>
  <c r="AE13" i="4" l="1"/>
  <c r="AF12" i="4"/>
  <c r="AE14" i="4" l="1"/>
  <c r="AF13" i="4"/>
  <c r="AE15" i="4" l="1"/>
  <c r="AF14" i="4"/>
  <c r="AE16" i="4" l="1"/>
  <c r="AF15" i="4"/>
  <c r="AF16" i="4" l="1"/>
  <c r="AE17" i="4"/>
  <c r="AE18" i="4" l="1"/>
  <c r="AF17" i="4"/>
  <c r="AE19" i="4" l="1"/>
  <c r="AF18" i="4"/>
  <c r="AE20" i="4" l="1"/>
  <c r="AF19" i="4"/>
  <c r="AF20" i="4" l="1"/>
  <c r="AE21" i="4"/>
  <c r="AF21" i="4" l="1"/>
  <c r="AE22" i="4"/>
  <c r="AF22" i="4" l="1"/>
  <c r="AE23" i="4"/>
  <c r="AF23" i="4" l="1"/>
  <c r="AE24" i="4"/>
  <c r="AF24" i="4" l="1"/>
  <c r="AE25" i="4"/>
  <c r="AF25" i="4" l="1"/>
  <c r="AE26" i="4"/>
  <c r="AF26" i="4" l="1"/>
  <c r="AE27" i="4"/>
  <c r="AF27" i="4" l="1"/>
  <c r="AE28" i="4"/>
  <c r="AF28" i="4" l="1"/>
  <c r="AE29" i="4"/>
  <c r="AF29" i="4" l="1"/>
  <c r="AE30" i="4"/>
  <c r="AF30" i="4" l="1"/>
  <c r="AE31" i="4"/>
  <c r="AF31" i="4" l="1"/>
  <c r="AE32" i="4"/>
  <c r="AF32" i="4" l="1"/>
  <c r="AE3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AE34" i="4" l="1"/>
  <c r="AF33" i="4"/>
  <c r="F3" i="4"/>
  <c r="K6" i="4"/>
  <c r="I3" i="4"/>
  <c r="B3" i="4"/>
  <c r="D3" i="4" a="1"/>
  <c r="D3" i="4" s="1"/>
  <c r="C3" i="4" a="1"/>
  <c r="C3" i="4" s="1"/>
  <c r="AF34" i="4" l="1"/>
  <c r="AE35" i="4"/>
  <c r="AF35" i="4" l="1"/>
  <c r="AE36" i="4"/>
  <c r="AF36" i="4" l="1"/>
  <c r="AE37" i="4"/>
  <c r="AF37" i="4" l="1"/>
  <c r="AE38" i="4"/>
  <c r="AF38" i="4" l="1"/>
  <c r="AE39" i="4"/>
  <c r="AF39" i="4" l="1"/>
  <c r="AE40" i="4"/>
  <c r="AF40" i="4" l="1"/>
  <c r="AE41" i="4"/>
  <c r="AF41" i="4" l="1"/>
  <c r="AE42" i="4"/>
  <c r="AF42" i="4" s="1"/>
  <c r="L4" i="4" s="1"/>
  <c r="L6" i="4" l="1"/>
</calcChain>
</file>

<file path=xl/sharedStrings.xml><?xml version="1.0" encoding="utf-8"?>
<sst xmlns="http://schemas.openxmlformats.org/spreadsheetml/2006/main" count="152" uniqueCount="82">
  <si>
    <t>Pièces à la Minute</t>
  </si>
  <si>
    <t>Pièces à l'Heure</t>
  </si>
  <si>
    <t>Opérateur</t>
  </si>
  <si>
    <t>AK</t>
  </si>
  <si>
    <t>Date</t>
  </si>
  <si>
    <t>MF</t>
  </si>
  <si>
    <t>Temps</t>
  </si>
  <si>
    <t>SF</t>
  </si>
  <si>
    <t>URGENCES</t>
  </si>
  <si>
    <t>EUROPE</t>
  </si>
  <si>
    <t>MONDE</t>
  </si>
  <si>
    <t>IN</t>
  </si>
  <si>
    <t>BM</t>
  </si>
  <si>
    <t>GE</t>
  </si>
  <si>
    <t>Moyenne Pcs/H.</t>
  </si>
  <si>
    <t>DATES</t>
  </si>
  <si>
    <t>SOMME</t>
  </si>
  <si>
    <t>Pcs 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</si>
  <si>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</si>
  <si>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</si>
  <si>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</si>
  <si>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</si>
  <si>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</si>
  <si>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</si>
  <si>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</si>
  <si>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</si>
  <si>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</si>
  <si>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</si>
  <si>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</si>
  <si>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</si>
  <si>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 Pcs</t>
  </si>
  <si>
    <t>Commentaires</t>
  </si>
  <si>
    <t>Pcs Du Jour</t>
  </si>
  <si>
    <t>Max. Pcs/Jour</t>
  </si>
  <si>
    <t>Min. Pcs/Jour</t>
  </si>
  <si>
    <t>Moy. Pcs/Jour</t>
  </si>
  <si>
    <t>Total Pièces</t>
  </si>
  <si>
    <t>Moyenne à l'année</t>
  </si>
  <si>
    <t>EP</t>
  </si>
  <si>
    <t>PK</t>
  </si>
  <si>
    <t>TS</t>
  </si>
  <si>
    <t>TD</t>
  </si>
  <si>
    <t>DG</t>
  </si>
  <si>
    <t>2021</t>
  </si>
  <si>
    <t>Total général</t>
  </si>
  <si>
    <t>Nombre de Opérateur</t>
  </si>
  <si>
    <t>date</t>
  </si>
  <si>
    <t>opé</t>
  </si>
  <si>
    <t>janv</t>
  </si>
  <si>
    <t>01-janv</t>
  </si>
  <si>
    <t>02-janv</t>
  </si>
  <si>
    <t>avr</t>
  </si>
  <si>
    <t>12-avr</t>
  </si>
  <si>
    <t>mai</t>
  </si>
  <si>
    <t>05-mai</t>
  </si>
  <si>
    <t>06-mai</t>
  </si>
  <si>
    <t>07-mai</t>
  </si>
  <si>
    <t>08-mai</t>
  </si>
  <si>
    <t>09-mai</t>
  </si>
  <si>
    <t>10-mai</t>
  </si>
  <si>
    <t>11-mai</t>
  </si>
  <si>
    <t>12-mai</t>
  </si>
  <si>
    <t>juil</t>
  </si>
  <si>
    <t>10-juil</t>
  </si>
  <si>
    <t>août</t>
  </si>
  <si>
    <t>08-août</t>
  </si>
  <si>
    <t>09-août</t>
  </si>
  <si>
    <t>10-août</t>
  </si>
  <si>
    <t>sept</t>
  </si>
  <si>
    <t>11-sept</t>
  </si>
  <si>
    <t>12-sept</t>
  </si>
  <si>
    <t>oct</t>
  </si>
  <si>
    <t>24-oct</t>
  </si>
  <si>
    <t>25-oct</t>
  </si>
  <si>
    <t>26-oct</t>
  </si>
  <si>
    <t>nov</t>
  </si>
  <si>
    <t>08-nov</t>
  </si>
  <si>
    <t>15-nov</t>
  </si>
  <si>
    <t>25-nov</t>
  </si>
  <si>
    <t>déc</t>
  </si>
  <si>
    <t>30-déc</t>
  </si>
  <si>
    <t>31-déc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</si>
</sst>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&quot; Pièces&quot;"/>
    <numFmt numFmtId="165" formatCode="h:mm:ss"/>
    <numFmt numFmtId="166" formatCode="0.00&quot; Pcs/H.&quot;"/>
    <numFmt numFmtId="167" formatCode="0&quot; Pcs&quot;"/>
    <numFmt numFmtId="168" formatCode="0.00&quot; Pcs/M.&quot;"/>
    <numFmt numFmtId="169" formatCode="0&quot; J.&quot;"/>
  </numFmts>
  <fonts count="8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24"/>
      <color theme="5"/>
      <name val="Arial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b/>
      <sz val="16"/>
      <color theme="5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Dashed">
        <color indexed="64"/>
      </top>
      <bottom style="thick">
        <color indexed="64"/>
      </bottom>
      <diagonal/>
    </border>
    <border diagonalUp="1" diagonalDown="1">
      <left/>
      <right style="medium">
        <color indexed="64"/>
      </right>
      <top/>
      <bottom/>
      <diagonal style="hair">
        <color indexed="64"/>
      </diagonal>
    </border>
    <border diagonalUp="1" diagonalDown="1">
      <left/>
      <right/>
      <top/>
      <bottom/>
      <diagonal style="hair">
        <color indexed="64"/>
      </diagonal>
    </border>
    <border>
      <left style="thick">
        <color indexed="64"/>
      </left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thick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/>
      <right style="thick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thick">
        <color indexed="64"/>
      </top>
      <bottom style="mediumDashed">
        <color indexed="64"/>
      </bottom>
      <diagonal/>
    </border>
    <border>
      <left/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/>
      <top style="thick">
        <color indexed="64"/>
      </top>
      <bottom style="mediumDashed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166" fontId="1" fillId="0" borderId="8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 applyProtection="1">
      <alignment horizontal="center"/>
      <protection locked="0"/>
    </xf>
    <xf numFmtId="166" fontId="1" fillId="0" borderId="4" xfId="0" applyNumberFormat="1" applyFont="1" applyFill="1" applyBorder="1" applyAlignment="1">
      <alignment horizontal="center" vertical="center"/>
    </xf>
    <xf numFmtId="165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8" fontId="1" fillId="0" borderId="3" xfId="0" applyNumberFormat="1" applyFont="1" applyFill="1" applyBorder="1" applyAlignment="1">
      <alignment horizontal="center" vertical="center"/>
    </xf>
    <xf numFmtId="168" fontId="1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167" fontId="2" fillId="4" borderId="24" xfId="0" applyNumberFormat="1" applyFont="1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167" fontId="2" fillId="7" borderId="24" xfId="0" applyNumberFormat="1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166" fontId="1" fillId="5" borderId="26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164" fontId="1" fillId="2" borderId="24" xfId="0" applyNumberFormat="1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167" fontId="1" fillId="9" borderId="24" xfId="0" applyNumberFormat="1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167" fontId="1" fillId="8" borderId="26" xfId="0" applyNumberFormat="1" applyFont="1" applyFill="1" applyBorder="1" applyAlignment="1">
      <alignment horizontal="center" vertical="center"/>
    </xf>
    <xf numFmtId="10" fontId="1" fillId="3" borderId="27" xfId="0" applyNumberFormat="1" applyFont="1" applyFill="1" applyBorder="1" applyAlignment="1">
      <alignment horizontal="center" vertical="center"/>
    </xf>
    <xf numFmtId="10" fontId="1" fillId="3" borderId="19" xfId="0" applyNumberFormat="1" applyFont="1" applyFill="1" applyBorder="1" applyAlignment="1">
      <alignment horizontal="center" vertical="center"/>
    </xf>
    <xf numFmtId="10" fontId="1" fillId="3" borderId="30" xfId="0" applyNumberFormat="1" applyFont="1" applyFill="1" applyBorder="1" applyAlignment="1">
      <alignment horizontal="center" vertical="center"/>
    </xf>
    <xf numFmtId="10" fontId="6" fillId="3" borderId="29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 applyProtection="1">
      <alignment horizontal="center" vertical="center"/>
      <protection locked="0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1" borderId="5" xfId="0" applyNumberFormat="1" applyFont="1" applyFill="1" applyBorder="1" applyAlignment="1" applyProtection="1">
      <alignment horizontal="center" vertical="center"/>
      <protection locked="0"/>
    </xf>
    <xf numFmtId="0" fontId="1" fillId="11" borderId="8" xfId="0" applyFont="1" applyFill="1" applyBorder="1" applyAlignment="1" applyProtection="1">
      <alignment horizontal="center" vertical="center"/>
      <protection locked="0"/>
    </xf>
    <xf numFmtId="0" fontId="1" fillId="10" borderId="5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1" borderId="5" xfId="0" applyFont="1" applyFill="1" applyBorder="1" applyAlignment="1" applyProtection="1">
      <alignment horizontal="center" vertical="center"/>
      <protection locked="0"/>
    </xf>
    <xf numFmtId="0" fontId="1" fillId="11" borderId="8" xfId="0" applyNumberFormat="1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0" fontId="1" fillId="11" borderId="7" xfId="0" applyFont="1" applyFill="1" applyBorder="1" applyAlignment="1" applyProtection="1">
      <alignment horizontal="center" vertical="center"/>
      <protection locked="0"/>
    </xf>
    <xf numFmtId="0" fontId="1" fillId="11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33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169" fontId="1" fillId="3" borderId="38" xfId="0" applyNumberFormat="1" applyFont="1" applyFill="1" applyBorder="1" applyAlignment="1">
      <alignment horizontal="center" vertical="center"/>
    </xf>
    <xf numFmtId="169" fontId="6" fillId="3" borderId="39" xfId="0" applyNumberFormat="1" applyFont="1" applyFill="1" applyBorder="1" applyAlignment="1">
      <alignment horizontal="center" vertical="center"/>
    </xf>
    <xf numFmtId="169" fontId="1" fillId="3" borderId="30" xfId="0" applyNumberFormat="1" applyFont="1" applyFill="1" applyBorder="1" applyAlignment="1">
      <alignment horizontal="center" vertical="center"/>
    </xf>
    <xf numFmtId="169" fontId="1" fillId="3" borderId="19" xfId="0" applyNumberFormat="1" applyFont="1" applyFill="1" applyBorder="1" applyAlignment="1">
      <alignment horizontal="center" vertical="center"/>
    </xf>
    <xf numFmtId="169" fontId="1" fillId="3" borderId="36" xfId="0" applyNumberFormat="1" applyFont="1" applyFill="1" applyBorder="1" applyAlignment="1">
      <alignment horizontal="center" vertical="center"/>
    </xf>
    <xf numFmtId="169" fontId="1" fillId="3" borderId="37" xfId="0" applyNumberFormat="1" applyFont="1" applyFill="1" applyBorder="1" applyAlignment="1">
      <alignment horizontal="center" vertical="center"/>
    </xf>
    <xf numFmtId="169" fontId="1" fillId="3" borderId="31" xfId="0" applyNumberFormat="1" applyFont="1" applyFill="1" applyBorder="1" applyAlignment="1">
      <alignment horizontal="center" vertical="center"/>
    </xf>
    <xf numFmtId="169" fontId="1" fillId="3" borderId="28" xfId="0" applyNumberFormat="1" applyFont="1" applyFill="1" applyBorder="1" applyAlignment="1">
      <alignment horizontal="center" vertical="center"/>
    </xf>
    <xf numFmtId="0" fontId="1" fillId="3" borderId="38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10" fontId="3" fillId="0" borderId="0" xfId="0" applyNumberFormat="1" applyFont="1" applyFill="1" applyBorder="1" applyAlignment="1">
      <alignment horizontal="center" vertical="center"/>
    </xf>
    <xf numFmtId="0" fontId="0" fillId="0" borderId="16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0" fillId="0" borderId="49" xfId="0" applyNumberFormat="1" applyFont="1" applyBorder="1" applyAlignment="1" applyProtection="1">
      <alignment horizontal="center" vertical="center"/>
      <protection locked="0"/>
    </xf>
    <xf numFmtId="14" fontId="0" fillId="0" borderId="50" xfId="0" applyNumberFormat="1" applyFont="1" applyBorder="1" applyAlignment="1" applyProtection="1">
      <alignment horizontal="center" vertical="center"/>
      <protection locked="0"/>
    </xf>
    <xf numFmtId="14" fontId="0" fillId="0" borderId="51" xfId="0" applyNumberFormat="1" applyFont="1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0" fillId="0" borderId="52" xfId="0" applyNumberFormat="1" applyBorder="1" applyAlignment="1" applyProtection="1">
      <alignment horizontal="center"/>
      <protection locked="0"/>
    </xf>
    <xf numFmtId="165" fontId="0" fillId="0" borderId="52" xfId="0" applyNumberFormat="1" applyFill="1" applyBorder="1" applyAlignment="1" applyProtection="1">
      <alignment horizontal="center" vertical="center"/>
      <protection locked="0"/>
    </xf>
    <xf numFmtId="168" fontId="1" fillId="0" borderId="52" xfId="0" applyNumberFormat="1" applyFont="1" applyFill="1" applyBorder="1" applyAlignment="1">
      <alignment horizontal="center" vertical="center"/>
    </xf>
    <xf numFmtId="166" fontId="1" fillId="0" borderId="53" xfId="0" applyNumberFormat="1" applyFont="1" applyFill="1" applyBorder="1" applyAlignment="1">
      <alignment horizontal="center" vertical="center"/>
    </xf>
    <xf numFmtId="0" fontId="0" fillId="0" borderId="54" xfId="0" applyBorder="1" applyProtection="1">
      <protection locked="0"/>
    </xf>
    <xf numFmtId="0" fontId="0" fillId="0" borderId="55" xfId="0" applyBorder="1" applyAlignment="1" applyProtection="1">
      <alignment horizontal="center"/>
      <protection locked="0"/>
    </xf>
    <xf numFmtId="0" fontId="3" fillId="0" borderId="18" xfId="0" applyFont="1" applyFill="1" applyBorder="1" applyAlignment="1">
      <alignment vertical="center"/>
    </xf>
    <xf numFmtId="0" fontId="3" fillId="0" borderId="13" xfId="0" applyFont="1" applyFill="1" applyBorder="1" applyAlignment="1">
      <alignment vertical="center"/>
    </xf>
    <xf numFmtId="0" fontId="3" fillId="0" borderId="13" xfId="0" applyFont="1" applyFill="1" applyBorder="1" applyAlignment="1">
      <alignment vertical="center" wrapText="1"/>
    </xf>
    <xf numFmtId="165" fontId="3" fillId="0" borderId="13" xfId="0" applyNumberFormat="1" applyFont="1" applyFill="1" applyBorder="1" applyAlignment="1" applyProtection="1">
      <alignment vertical="center"/>
      <protection locked="0"/>
    </xf>
    <xf numFmtId="0" fontId="3" fillId="0" borderId="17" xfId="0" applyFont="1" applyFill="1" applyBorder="1" applyAlignment="1">
      <alignment vertical="center" wrapText="1"/>
    </xf>
    <xf numFmtId="0" fontId="3" fillId="0" borderId="17" xfId="0" applyFont="1" applyFill="1" applyBorder="1" applyAlignment="1">
      <alignment vertical="center"/>
    </xf>
    <xf numFmtId="0" fontId="0" fillId="0" borderId="0" xfId="0" pivotButton="1"/>
    <xf numFmtId="0" fontId="1" fillId="6" borderId="42" xfId="0" applyFont="1" applyFill="1" applyBorder="1" applyAlignment="1">
      <alignment horizontal="center" vertical="center"/>
    </xf>
    <xf numFmtId="0" fontId="1" fillId="6" borderId="43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4" fillId="6" borderId="20" xfId="0" applyFont="1" applyFill="1" applyBorder="1" applyAlignment="1" applyProtection="1">
      <alignment horizontal="center" vertical="center"/>
      <protection locked="0"/>
    </xf>
    <xf numFmtId="0" fontId="4" fillId="6" borderId="13" xfId="0" applyFont="1" applyFill="1" applyBorder="1" applyAlignment="1" applyProtection="1">
      <alignment horizontal="center" vertical="center"/>
      <protection locked="0"/>
    </xf>
    <xf numFmtId="166" fontId="1" fillId="3" borderId="20" xfId="0" applyNumberFormat="1" applyFont="1" applyFill="1" applyBorder="1" applyAlignment="1">
      <alignment horizontal="center" vertical="center"/>
    </xf>
    <xf numFmtId="166" fontId="1" fillId="3" borderId="1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11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14" fontId="1" fillId="3" borderId="10" xfId="0" applyNumberFormat="1" applyFont="1" applyFill="1" applyBorder="1" applyAlignment="1">
      <alignment horizontal="center" vertical="center" wrapText="1"/>
    </xf>
    <xf numFmtId="14" fontId="1" fillId="3" borderId="13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14" fontId="1" fillId="3" borderId="11" xfId="0" applyNumberFormat="1" applyFont="1" applyFill="1" applyBorder="1" applyAlignment="1">
      <alignment horizontal="center" vertical="center" wrapText="1"/>
    </xf>
    <xf numFmtId="14" fontId="1" fillId="3" borderId="12" xfId="0" applyNumberFormat="1" applyFont="1" applyFill="1" applyBorder="1" applyAlignment="1">
      <alignment horizontal="center" vertical="center" wrapText="1"/>
    </xf>
    <xf numFmtId="14" fontId="1" fillId="3" borderId="17" xfId="0" applyNumberFormat="1" applyFont="1" applyFill="1" applyBorder="1" applyAlignment="1">
      <alignment horizontal="center" vertical="center" wrapText="1"/>
    </xf>
    <xf numFmtId="14" fontId="1" fillId="3" borderId="18" xfId="0" applyNumberFormat="1" applyFont="1" applyFill="1" applyBorder="1" applyAlignment="1">
      <alignment horizontal="center" vertical="center" wrapText="1"/>
    </xf>
    <xf numFmtId="166" fontId="1" fillId="3" borderId="22" xfId="0" applyNumberFormat="1" applyFont="1" applyFill="1" applyBorder="1" applyAlignment="1">
      <alignment horizontal="center" vertical="center"/>
    </xf>
    <xf numFmtId="166" fontId="1" fillId="3" borderId="17" xfId="0" applyNumberFormat="1" applyFont="1" applyFill="1" applyBorder="1" applyAlignment="1">
      <alignment horizontal="center" vertical="center"/>
    </xf>
    <xf numFmtId="164" fontId="1" fillId="3" borderId="20" xfId="0" applyNumberFormat="1" applyFont="1" applyFill="1" applyBorder="1" applyAlignment="1" applyProtection="1">
      <alignment horizontal="center" vertical="center"/>
    </xf>
    <xf numFmtId="164" fontId="1" fillId="3" borderId="13" xfId="0" applyNumberFormat="1" applyFont="1" applyFill="1" applyBorder="1" applyAlignment="1" applyProtection="1">
      <alignment horizontal="center" vertical="center"/>
    </xf>
    <xf numFmtId="0" fontId="7" fillId="3" borderId="21" xfId="0" applyFont="1" applyFill="1" applyBorder="1" applyAlignment="1" applyProtection="1">
      <alignment horizontal="center" vertical="center"/>
      <protection locked="0"/>
    </xf>
    <xf numFmtId="0" fontId="7" fillId="3" borderId="18" xfId="0" applyFont="1" applyFill="1" applyBorder="1" applyAlignment="1" applyProtection="1">
      <alignment horizontal="center" vertical="center"/>
      <protection locked="0"/>
    </xf>
    <xf numFmtId="164" fontId="1" fillId="3" borderId="20" xfId="0" applyNumberFormat="1" applyFont="1" applyFill="1" applyBorder="1" applyAlignment="1">
      <alignment horizontal="center" vertical="center"/>
    </xf>
    <xf numFmtId="164" fontId="1" fillId="3" borderId="13" xfId="0" applyNumberFormat="1" applyFont="1" applyFill="1" applyBorder="1" applyAlignment="1">
      <alignment horizontal="center" vertical="center"/>
    </xf>
    <xf numFmtId="166" fontId="1" fillId="3" borderId="21" xfId="0" applyNumberFormat="1" applyFont="1" applyFill="1" applyBorder="1" applyAlignment="1">
      <alignment horizontal="center" vertical="center"/>
    </xf>
    <xf numFmtId="166" fontId="1" fillId="3" borderId="18" xfId="0" applyNumberFormat="1" applyFont="1" applyFill="1" applyBorder="1" applyAlignment="1">
      <alignment horizontal="center" vertical="center"/>
    </xf>
    <xf numFmtId="10" fontId="3" fillId="3" borderId="35" xfId="0" applyNumberFormat="1" applyFont="1" applyFill="1" applyBorder="1" applyAlignment="1">
      <alignment horizontal="center" vertical="center"/>
    </xf>
    <xf numFmtId="10" fontId="3" fillId="3" borderId="26" xfId="0" applyNumberFormat="1" applyFont="1" applyFill="1" applyBorder="1" applyAlignment="1">
      <alignment horizontal="center" vertical="center"/>
    </xf>
    <xf numFmtId="0" fontId="3" fillId="6" borderId="34" xfId="0" applyFont="1" applyFill="1" applyBorder="1" applyAlignment="1">
      <alignment horizontal="center" vertical="center" wrapText="1"/>
    </xf>
    <xf numFmtId="0" fontId="3" fillId="6" borderId="35" xfId="0" applyFont="1" applyFill="1" applyBorder="1" applyAlignment="1">
      <alignment horizontal="center" vertical="center" wrapText="1"/>
    </xf>
    <xf numFmtId="0" fontId="1" fillId="6" borderId="40" xfId="0" applyFont="1" applyFill="1" applyBorder="1" applyAlignment="1">
      <alignment horizontal="center" vertical="center"/>
    </xf>
    <xf numFmtId="0" fontId="1" fillId="6" borderId="41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0.00&quot; Pcs/H.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8" formatCode="0.00&quot; Pcs/M.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h:mm:ss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top style="thick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469900</xdr:colOff>
      <xdr:row>2</xdr:row>
      <xdr:rowOff>82550</xdr:rowOff>
    </xdr:from>
    <xdr:to>
      <xdr:col>12</xdr:col>
      <xdr:colOff>673100</xdr:colOff>
      <xdr:row>16</xdr:row>
      <xdr:rowOff>32803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41900" y="438150"/>
              <a:ext cx="1828800" cy="24394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57.524964930555" createdVersion="5" refreshedVersion="5" minRefreshableVersion="3" recordCount="36">
  <cacheSource type="worksheet">
    <worksheetSource name="Tableau1"/>
  </cacheSource>
  <cacheFields count="11">
    <cacheField name="Date" numFmtId="14">
      <sharedItems containsSemiMixedTypes="0" containsNonDate="0" containsDate="1" containsString="0" minDate="2021-01-01T00:00:00" maxDate="2022-01-01T00:00:00" count="25">
        <d v="2021-01-01T00:00:00"/>
        <d v="2021-01-02T00:00:00"/>
        <d v="2021-04-12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7-10T00:00:00"/>
        <d v="2021-08-08T00:00:00"/>
        <d v="2021-08-09T00:00:00"/>
        <d v="2021-08-10T00:00:00"/>
        <d v="2021-09-11T00:00:00"/>
        <d v="2021-09-12T00:00:00"/>
        <d v="2021-10-24T00:00:00"/>
        <d v="2021-10-25T00:00:00"/>
        <d v="2021-10-26T00:00:00"/>
        <d v="2021-11-08T00:00:00"/>
        <d v="2021-11-15T00:00:00"/>
        <d v="2021-11-25T00:00:00"/>
        <d v="2021-12-30T00:00:00"/>
        <d v="2021-12-31T00:00:00"/>
      </sharedItems>
      <fieldGroup par="10" base="0">
        <rangePr groupBy="days" startDate="2021-01-01T00:00:00" endDate="2022-01-01T00:00:00"/>
        <groupItems count="368">
          <s v="&lt;01/01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2"/>
        </groupItems>
      </fieldGroup>
    </cacheField>
    <cacheField name="Opérateur" numFmtId="0">
      <sharedItems count="8">
        <s v="AK"/>
        <s v="MF"/>
        <s v="SF"/>
        <s v="DG"/>
        <s v="TD"/>
        <s v="EP"/>
        <s v="PK"/>
        <s v="TS"/>
      </sharedItems>
    </cacheField>
    <cacheField name="Pcs Total" numFmtId="0">
      <sharedItems containsSemiMixedTypes="0" containsString="0" containsNumber="1" containsInteger="1" minValue="10" maxValue="30"/>
    </cacheField>
    <cacheField name="Temps" numFmtId="165">
      <sharedItems containsSemiMixedTypes="0" containsNonDate="0" containsDate="1" containsString="0" minDate="1899-12-30T00:00:45" maxDate="1899-12-30T01:00:00"/>
    </cacheField>
    <cacheField name="Pièces à la Minute" numFmtId="168">
      <sharedItems containsSemiMixedTypes="0" containsString="0" containsNumber="1" minValue="0.16666666666666666" maxValue="40"/>
    </cacheField>
    <cacheField name="Pièces à l'Heure" numFmtId="166">
      <sharedItems containsSemiMixedTypes="0" containsString="0" containsNumber="1" minValue="10" maxValue="2400"/>
    </cacheField>
    <cacheField name="Type Pcs" numFmtId="0">
      <sharedItems/>
    </cacheField>
    <cacheField name="Commentaires" numFmtId="0">
      <sharedItems containsNonDate="0" containsString="0" containsBlank="1"/>
    </cacheField>
    <cacheField name="2021" numFmtId="0">
      <sharedItems containsNonDate="0" containsString="0" containsBlank="1"/>
    </cacheField>
    <cacheField name="Mois" numFmtId="0" databaseField="0">
      <fieldGroup base="0">
        <rangePr groupBy="months" startDate="2021-01-01T00:00:00" endDate="2022-01-01T00:00:00"/>
        <groupItems count="14">
          <s v="&lt;01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  <cacheField name="Années" numFmtId="0" databaseField="0">
      <fieldGroup base="0">
        <rangePr groupBy="years" startDate="2021-01-01T00:00:00" endDate="2022-01-01T00:00:00"/>
        <groupItems count="4">
          <s v="&lt;01/01/2021"/>
          <s v="2021"/>
          <s v="2022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0"/>
    <d v="1899-12-30T00:05:00"/>
    <n v="2"/>
    <n v="120"/>
    <s v="EUROPE"/>
    <m/>
    <m/>
  </r>
  <r>
    <x v="0"/>
    <x v="1"/>
    <n v="20"/>
    <d v="1899-12-30T00:08:00"/>
    <n v="2.5"/>
    <n v="150"/>
    <s v="URGENCES"/>
    <m/>
    <m/>
  </r>
  <r>
    <x v="0"/>
    <x v="2"/>
    <n v="30"/>
    <d v="1899-12-30T00:01:00"/>
    <n v="30"/>
    <n v="1800"/>
    <s v="MONDE"/>
    <m/>
    <m/>
  </r>
  <r>
    <x v="0"/>
    <x v="0"/>
    <n v="10"/>
    <d v="1899-12-30T01:00:00"/>
    <n v="0.16666666666666666"/>
    <n v="10"/>
    <s v="IN"/>
    <m/>
    <m/>
  </r>
  <r>
    <x v="0"/>
    <x v="1"/>
    <n v="20"/>
    <d v="1899-12-30T00:05:00"/>
    <n v="4"/>
    <n v="240"/>
    <s v="GE"/>
    <m/>
    <m/>
  </r>
  <r>
    <x v="0"/>
    <x v="2"/>
    <n v="30"/>
    <d v="1899-12-30T00:09:00"/>
    <n v="3.3333333333333335"/>
    <n v="200"/>
    <s v="BM"/>
    <m/>
    <m/>
  </r>
  <r>
    <x v="0"/>
    <x v="0"/>
    <n v="10"/>
    <d v="1899-12-30T00:10:00"/>
    <n v="1"/>
    <n v="60"/>
    <s v="EUROPE"/>
    <m/>
    <m/>
  </r>
  <r>
    <x v="0"/>
    <x v="1"/>
    <n v="20"/>
    <d v="1899-12-30T00:15:00"/>
    <n v="1.3333333333333333"/>
    <n v="80"/>
    <s v="URGENCES"/>
    <m/>
    <m/>
  </r>
  <r>
    <x v="1"/>
    <x v="2"/>
    <n v="30"/>
    <d v="1899-12-30T00:25:00"/>
    <n v="1.2"/>
    <n v="72"/>
    <s v="MONDE"/>
    <m/>
    <m/>
  </r>
  <r>
    <x v="1"/>
    <x v="0"/>
    <n v="10"/>
    <d v="1899-12-30T01:00:00"/>
    <n v="0.16666666666666666"/>
    <n v="10"/>
    <s v="IN"/>
    <m/>
    <m/>
  </r>
  <r>
    <x v="1"/>
    <x v="1"/>
    <n v="20"/>
    <d v="1899-12-30T00:54:00"/>
    <n v="0.37037037037037041"/>
    <n v="22.222222222222225"/>
    <s v="GE"/>
    <m/>
    <m/>
  </r>
  <r>
    <x v="2"/>
    <x v="0"/>
    <n v="30"/>
    <d v="1899-12-30T00:25:00"/>
    <n v="1.2"/>
    <n v="72"/>
    <s v="BM"/>
    <m/>
    <m/>
  </r>
  <r>
    <x v="3"/>
    <x v="0"/>
    <n v="10"/>
    <d v="1899-12-30T00:13:00"/>
    <n v="0.76923076923076916"/>
    <n v="46.153846153846153"/>
    <s v="EUROPE"/>
    <m/>
    <m/>
  </r>
  <r>
    <x v="4"/>
    <x v="3"/>
    <n v="20"/>
    <d v="1899-12-30T00:14:00"/>
    <n v="1.4285714285714284"/>
    <n v="85.714285714285708"/>
    <s v="URGENCES"/>
    <m/>
    <m/>
  </r>
  <r>
    <x v="5"/>
    <x v="4"/>
    <n v="30"/>
    <d v="1899-12-30T00:02:00"/>
    <n v="15"/>
    <n v="900"/>
    <s v="MONDE"/>
    <m/>
    <m/>
  </r>
  <r>
    <x v="6"/>
    <x v="0"/>
    <n v="10"/>
    <d v="1899-12-30T00:17:00"/>
    <n v="0.58823529411764708"/>
    <n v="35.294117647058826"/>
    <s v="IN"/>
    <m/>
    <m/>
  </r>
  <r>
    <x v="7"/>
    <x v="5"/>
    <n v="20"/>
    <d v="1899-12-30T00:35:00"/>
    <n v="0.5714285714285714"/>
    <n v="34.285714285714285"/>
    <s v="GE"/>
    <m/>
    <m/>
  </r>
  <r>
    <x v="8"/>
    <x v="2"/>
    <n v="30"/>
    <d v="1899-12-30T00:01:00"/>
    <n v="30"/>
    <n v="1800"/>
    <s v="BM"/>
    <m/>
    <m/>
  </r>
  <r>
    <x v="9"/>
    <x v="0"/>
    <n v="10"/>
    <d v="1899-12-30T00:09:00"/>
    <n v="1.1111111111111112"/>
    <n v="66.666666666666671"/>
    <s v="EUROPE"/>
    <m/>
    <m/>
  </r>
  <r>
    <x v="10"/>
    <x v="1"/>
    <n v="20"/>
    <d v="1899-12-30T00:58:00"/>
    <n v="0.34482758620689652"/>
    <n v="20.68965517241379"/>
    <s v="URGENCES"/>
    <m/>
    <m/>
  </r>
  <r>
    <x v="11"/>
    <x v="2"/>
    <n v="30"/>
    <d v="1899-12-30T00:46:00"/>
    <n v="0.65217391304347816"/>
    <n v="39.130434782608688"/>
    <s v="MONDE"/>
    <m/>
    <m/>
  </r>
  <r>
    <x v="12"/>
    <x v="6"/>
    <n v="10"/>
    <d v="1899-12-30T00:08:00"/>
    <n v="1.25"/>
    <n v="75"/>
    <s v="IN"/>
    <m/>
    <m/>
  </r>
  <r>
    <x v="13"/>
    <x v="1"/>
    <n v="20"/>
    <d v="1899-12-30T00:15:00"/>
    <n v="1.3333333333333333"/>
    <n v="80"/>
    <s v="GE"/>
    <m/>
    <m/>
  </r>
  <r>
    <x v="14"/>
    <x v="2"/>
    <n v="30"/>
    <d v="1899-12-30T00:27:00"/>
    <n v="1.1111111111111112"/>
    <n v="66.666666666666671"/>
    <s v="BM"/>
    <m/>
    <m/>
  </r>
  <r>
    <x v="15"/>
    <x v="0"/>
    <n v="10"/>
    <d v="1899-12-30T00:28:00"/>
    <n v="0.3571428571428571"/>
    <n v="21.428571428571427"/>
    <s v="EUROPE"/>
    <m/>
    <m/>
  </r>
  <r>
    <x v="15"/>
    <x v="7"/>
    <n v="20"/>
    <d v="1899-12-30T00:26:00"/>
    <n v="0.76923076923076916"/>
    <n v="46.153846153846153"/>
    <s v="URGENCES"/>
    <m/>
    <m/>
  </r>
  <r>
    <x v="16"/>
    <x v="2"/>
    <n v="30"/>
    <d v="1899-12-30T00:35:00"/>
    <n v="0.8571428571428571"/>
    <n v="51.428571428571423"/>
    <s v="MONDE"/>
    <m/>
    <m/>
  </r>
  <r>
    <x v="17"/>
    <x v="0"/>
    <n v="10"/>
    <d v="1899-12-30T00:54:00"/>
    <n v="0.1851851851851852"/>
    <n v="11.111111111111112"/>
    <s v="IN"/>
    <m/>
    <m/>
  </r>
  <r>
    <x v="18"/>
    <x v="1"/>
    <n v="20"/>
    <d v="1899-12-30T00:15:00"/>
    <n v="1.3333333333333333"/>
    <n v="80"/>
    <s v="GE"/>
    <m/>
    <m/>
  </r>
  <r>
    <x v="19"/>
    <x v="2"/>
    <n v="30"/>
    <d v="1899-12-30T00:19:00"/>
    <n v="1.5789473684210527"/>
    <n v="94.736842105263165"/>
    <s v="BM"/>
    <m/>
    <m/>
  </r>
  <r>
    <x v="20"/>
    <x v="0"/>
    <n v="10"/>
    <d v="1899-12-30T00:24:00"/>
    <n v="0.41666666666666669"/>
    <n v="25"/>
    <s v="EUROPE"/>
    <m/>
    <m/>
  </r>
  <r>
    <x v="21"/>
    <x v="1"/>
    <n v="20"/>
    <d v="1899-12-30T00:34:00"/>
    <n v="0.58823529411764708"/>
    <n v="35.294117647058826"/>
    <s v="URGENCES"/>
    <m/>
    <m/>
  </r>
  <r>
    <x v="22"/>
    <x v="2"/>
    <n v="30"/>
    <d v="1899-12-30T00:47:00"/>
    <n v="0.63829787234042545"/>
    <n v="38.297872340425528"/>
    <s v="MONDE"/>
    <m/>
    <m/>
  </r>
  <r>
    <x v="23"/>
    <x v="0"/>
    <n v="10"/>
    <d v="1899-12-30T00:23:00"/>
    <n v="0.43478260869565211"/>
    <n v="26.086956521739125"/>
    <s v="IN"/>
    <m/>
    <m/>
  </r>
  <r>
    <x v="23"/>
    <x v="1"/>
    <n v="20"/>
    <d v="1899-12-30T00:05:00"/>
    <n v="4"/>
    <n v="240"/>
    <s v="GE"/>
    <m/>
    <m/>
  </r>
  <r>
    <x v="24"/>
    <x v="2"/>
    <n v="30"/>
    <d v="1899-12-30T00:00:45"/>
    <n v="40"/>
    <n v="2400"/>
    <s v="BM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ate" colHeaderCaption="opé">
  <location ref="A3:J40" firstHeaderRow="1" firstDataRow="2" firstDataCol="1"/>
  <pivotFields count="11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dataField="1" showAll="0">
      <items count="9">
        <item x="0"/>
        <item x="3"/>
        <item x="5"/>
        <item x="1"/>
        <item x="6"/>
        <item x="2"/>
        <item x="4"/>
        <item x="7"/>
        <item t="default"/>
      </items>
    </pivotField>
    <pivotField showAll="0"/>
    <pivotField numFmtId="165" showAll="0"/>
    <pivotField numFmtId="168" showAll="0"/>
    <pivotField numFmtId="166" showAll="0"/>
    <pivotField showAll="0"/>
    <pivotField showAll="0"/>
    <pivotField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4">
        <item x="0"/>
        <item x="1"/>
        <item x="2"/>
        <item x="3"/>
      </items>
    </pivotField>
  </pivotFields>
  <rowFields count="3">
    <field x="10"/>
    <field x="9"/>
    <field x="0"/>
  </rowFields>
  <rowItems count="36">
    <i>
      <x v="1"/>
    </i>
    <i r="1">
      <x v="1"/>
    </i>
    <i r="2">
      <x v="1"/>
    </i>
    <i r="2">
      <x v="2"/>
    </i>
    <i r="1">
      <x v="4"/>
    </i>
    <i r="2">
      <x v="103"/>
    </i>
    <i r="1">
      <x v="5"/>
    </i>
    <i r="2">
      <x v="126"/>
    </i>
    <i r="2">
      <x v="127"/>
    </i>
    <i r="2">
      <x v="128"/>
    </i>
    <i r="2">
      <x v="129"/>
    </i>
    <i r="2">
      <x v="130"/>
    </i>
    <i r="2">
      <x v="131"/>
    </i>
    <i r="2">
      <x v="132"/>
    </i>
    <i r="2">
      <x v="133"/>
    </i>
    <i r="1">
      <x v="7"/>
    </i>
    <i r="2">
      <x v="192"/>
    </i>
    <i r="1">
      <x v="8"/>
    </i>
    <i r="2">
      <x v="221"/>
    </i>
    <i r="2">
      <x v="222"/>
    </i>
    <i r="2">
      <x v="223"/>
    </i>
    <i r="1">
      <x v="9"/>
    </i>
    <i r="2">
      <x v="255"/>
    </i>
    <i r="2">
      <x v="256"/>
    </i>
    <i r="1">
      <x v="10"/>
    </i>
    <i r="2">
      <x v="298"/>
    </i>
    <i r="2">
      <x v="299"/>
    </i>
    <i r="2">
      <x v="300"/>
    </i>
    <i r="1">
      <x v="11"/>
    </i>
    <i r="2">
      <x v="313"/>
    </i>
    <i r="2">
      <x v="320"/>
    </i>
    <i r="2">
      <x v="330"/>
    </i>
    <i r="1">
      <x v="12"/>
    </i>
    <i r="2">
      <x v="365"/>
    </i>
    <i r="2">
      <x v="366"/>
    </i>
    <i t="grand">
      <x/>
    </i>
  </rowItems>
  <colFields count="1"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ombre de Opérateur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1"/>
  </pivotTables>
  <data>
    <tabular pivotCacheId="1">
      <items count="4">
        <i x="1" s="1"/>
        <i x="0" s="1" nd="1"/>
        <i x="3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30716"/>
</slicers>
</file>

<file path=xl/tables/table1.xml><?xml version="1.0" encoding="utf-8"?>
<table xmlns="http://schemas.openxmlformats.org/spreadsheetml/2006/main" id="1" name="Tableau1" displayName="Tableau1" ref="A6:H42" totalsRowShown="0" headerRowDxfId="9" tableBorderDxfId="8">
  <autoFilter ref="A6:H42"/>
  <tableColumns count="8">
    <tableColumn id="1" name="Date" dataDxfId="7"/>
    <tableColumn id="2" name="Opérateur" dataDxfId="6"/>
    <tableColumn id="3" name="Pcs Total" dataDxfId="5"/>
    <tableColumn id="4" name="Temps" dataDxfId="4"/>
    <tableColumn id="5" name="Pièces à la Minute" dataDxfId="3">
      <calculatedColumnFormula>$C7/$D7/(24*60)</calculatedColumnFormula>
    </tableColumn>
    <tableColumn id="6" name="Pièces à l'Heure" dataDxfId="2">
      <calculatedColumnFormula>$C7/$D7/24</calculatedColumnFormula>
    </tableColumn>
    <tableColumn id="7" name="Type Pcs" dataDxfId="1"/>
    <tableColumn id="8" name="Commentair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40"/>
  <sheetViews>
    <sheetView tabSelected="1" workbookViewId="0">
      <selection activeCell="A10" sqref="A10"/>
    </sheetView>
  </sheetViews>
  <sheetFormatPr baseColWidth="10" defaultRowHeight="14" x14ac:dyDescent="0.3"/>
  <cols>
    <col min="1" max="1" width="19.1640625" bestFit="1" customWidth="1"/>
    <col min="2" max="2" width="6" bestFit="1" customWidth="1"/>
    <col min="3" max="3" width="3.5" bestFit="1" customWidth="1"/>
    <col min="4" max="5" width="3.25" bestFit="1" customWidth="1"/>
    <col min="6" max="6" width="3.33203125" bestFit="1" customWidth="1"/>
    <col min="7" max="7" width="3.08203125" bestFit="1" customWidth="1"/>
    <col min="8" max="8" width="3.33203125" bestFit="1" customWidth="1"/>
    <col min="9" max="9" width="3.25" bestFit="1" customWidth="1"/>
    <col min="10" max="10" width="11.83203125" bestFit="1" customWidth="1"/>
  </cols>
  <sheetData>
    <row r="3" spans="1:10" x14ac:dyDescent="0.3">
      <c r="A3" s="85" t="s">
        <v>45</v>
      </c>
      <c r="B3" s="85" t="s">
        <v>47</v>
      </c>
    </row>
    <row r="4" spans="1:10" x14ac:dyDescent="0.3">
      <c r="A4" s="85" t="s">
        <v>46</v>
      </c>
      <c r="B4" t="s">
        <v>3</v>
      </c>
      <c r="C4" t="s">
        <v>42</v>
      </c>
      <c r="D4" t="s">
        <v>38</v>
      </c>
      <c r="E4" t="s">
        <v>5</v>
      </c>
      <c r="F4" t="s">
        <v>39</v>
      </c>
      <c r="G4" t="s">
        <v>7</v>
      </c>
      <c r="H4" t="s">
        <v>41</v>
      </c>
      <c r="I4" t="s">
        <v>40</v>
      </c>
      <c r="J4" t="s">
        <v>44</v>
      </c>
    </row>
    <row r="5" spans="1:10" x14ac:dyDescent="0.3">
      <c r="A5" s="62" t="s">
        <v>43</v>
      </c>
      <c r="B5" s="63"/>
      <c r="C5" s="63"/>
      <c r="D5" s="63"/>
      <c r="E5" s="63"/>
      <c r="F5" s="63"/>
      <c r="G5" s="63"/>
      <c r="H5" s="63"/>
      <c r="I5" s="63"/>
      <c r="J5" s="63"/>
    </row>
    <row r="6" spans="1:10" x14ac:dyDescent="0.3">
      <c r="A6" s="128" t="s">
        <v>48</v>
      </c>
      <c r="B6" s="63"/>
      <c r="C6" s="63"/>
      <c r="D6" s="63"/>
      <c r="E6" s="63"/>
      <c r="F6" s="63"/>
      <c r="G6" s="63"/>
      <c r="H6" s="63"/>
      <c r="I6" s="63"/>
      <c r="J6" s="63"/>
    </row>
    <row r="7" spans="1:10" x14ac:dyDescent="0.3">
      <c r="A7" s="129" t="s">
        <v>49</v>
      </c>
      <c r="B7" s="63">
        <v>3</v>
      </c>
      <c r="C7" s="63"/>
      <c r="D7" s="63"/>
      <c r="E7" s="63">
        <v>3</v>
      </c>
      <c r="F7" s="63"/>
      <c r="G7" s="63">
        <v>2</v>
      </c>
      <c r="H7" s="63"/>
      <c r="I7" s="63"/>
      <c r="J7" s="63">
        <v>8</v>
      </c>
    </row>
    <row r="8" spans="1:10" x14ac:dyDescent="0.3">
      <c r="A8" s="129" t="s">
        <v>50</v>
      </c>
      <c r="B8" s="63">
        <v>1</v>
      </c>
      <c r="C8" s="63"/>
      <c r="D8" s="63"/>
      <c r="E8" s="63">
        <v>1</v>
      </c>
      <c r="F8" s="63"/>
      <c r="G8" s="63">
        <v>1</v>
      </c>
      <c r="H8" s="63"/>
      <c r="I8" s="63"/>
      <c r="J8" s="63">
        <v>3</v>
      </c>
    </row>
    <row r="9" spans="1:10" x14ac:dyDescent="0.3">
      <c r="A9" s="128" t="s">
        <v>51</v>
      </c>
      <c r="B9" s="63"/>
      <c r="C9" s="63"/>
      <c r="D9" s="63"/>
      <c r="E9" s="63"/>
      <c r="F9" s="63"/>
      <c r="G9" s="63"/>
      <c r="H9" s="63"/>
      <c r="I9" s="63"/>
      <c r="J9" s="63"/>
    </row>
    <row r="10" spans="1:10" x14ac:dyDescent="0.3">
      <c r="A10" s="129" t="s">
        <v>52</v>
      </c>
      <c r="B10" s="63">
        <v>1</v>
      </c>
      <c r="C10" s="63"/>
      <c r="D10" s="63"/>
      <c r="E10" s="63"/>
      <c r="F10" s="63"/>
      <c r="G10" s="63"/>
      <c r="H10" s="63"/>
      <c r="I10" s="63"/>
      <c r="J10" s="63">
        <v>1</v>
      </c>
    </row>
    <row r="11" spans="1:10" x14ac:dyDescent="0.3">
      <c r="A11" s="128" t="s">
        <v>53</v>
      </c>
      <c r="B11" s="63"/>
      <c r="C11" s="63"/>
      <c r="D11" s="63"/>
      <c r="E11" s="63"/>
      <c r="F11" s="63"/>
      <c r="G11" s="63"/>
      <c r="H11" s="63"/>
      <c r="I11" s="63"/>
      <c r="J11" s="63"/>
    </row>
    <row r="12" spans="1:10" x14ac:dyDescent="0.3">
      <c r="A12" s="129" t="s">
        <v>54</v>
      </c>
      <c r="B12" s="63">
        <v>1</v>
      </c>
      <c r="C12" s="63"/>
      <c r="D12" s="63"/>
      <c r="E12" s="63"/>
      <c r="F12" s="63"/>
      <c r="G12" s="63"/>
      <c r="H12" s="63"/>
      <c r="I12" s="63"/>
      <c r="J12" s="63">
        <v>1</v>
      </c>
    </row>
    <row r="13" spans="1:10" x14ac:dyDescent="0.3">
      <c r="A13" s="129" t="s">
        <v>55</v>
      </c>
      <c r="B13" s="63"/>
      <c r="C13" s="63">
        <v>1</v>
      </c>
      <c r="D13" s="63"/>
      <c r="E13" s="63"/>
      <c r="F13" s="63"/>
      <c r="G13" s="63"/>
      <c r="H13" s="63"/>
      <c r="I13" s="63"/>
      <c r="J13" s="63">
        <v>1</v>
      </c>
    </row>
    <row r="14" spans="1:10" x14ac:dyDescent="0.3">
      <c r="A14" s="129" t="s">
        <v>56</v>
      </c>
      <c r="B14" s="63"/>
      <c r="C14" s="63"/>
      <c r="D14" s="63"/>
      <c r="E14" s="63"/>
      <c r="F14" s="63"/>
      <c r="G14" s="63"/>
      <c r="H14" s="63">
        <v>1</v>
      </c>
      <c r="I14" s="63"/>
      <c r="J14" s="63">
        <v>1</v>
      </c>
    </row>
    <row r="15" spans="1:10" x14ac:dyDescent="0.3">
      <c r="A15" s="129" t="s">
        <v>57</v>
      </c>
      <c r="B15" s="63">
        <v>1</v>
      </c>
      <c r="C15" s="63"/>
      <c r="D15" s="63"/>
      <c r="E15" s="63"/>
      <c r="F15" s="63"/>
      <c r="G15" s="63"/>
      <c r="H15" s="63"/>
      <c r="I15" s="63"/>
      <c r="J15" s="63">
        <v>1</v>
      </c>
    </row>
    <row r="16" spans="1:10" x14ac:dyDescent="0.3">
      <c r="A16" s="129" t="s">
        <v>58</v>
      </c>
      <c r="B16" s="63"/>
      <c r="C16" s="63"/>
      <c r="D16" s="63">
        <v>1</v>
      </c>
      <c r="E16" s="63"/>
      <c r="F16" s="63"/>
      <c r="G16" s="63"/>
      <c r="H16" s="63"/>
      <c r="I16" s="63"/>
      <c r="J16" s="63">
        <v>1</v>
      </c>
    </row>
    <row r="17" spans="1:10" x14ac:dyDescent="0.3">
      <c r="A17" s="129" t="s">
        <v>59</v>
      </c>
      <c r="B17" s="63"/>
      <c r="C17" s="63"/>
      <c r="D17" s="63"/>
      <c r="E17" s="63"/>
      <c r="F17" s="63"/>
      <c r="G17" s="63">
        <v>1</v>
      </c>
      <c r="H17" s="63"/>
      <c r="I17" s="63"/>
      <c r="J17" s="63">
        <v>1</v>
      </c>
    </row>
    <row r="18" spans="1:10" x14ac:dyDescent="0.3">
      <c r="A18" s="129" t="s">
        <v>60</v>
      </c>
      <c r="B18" s="63">
        <v>1</v>
      </c>
      <c r="C18" s="63"/>
      <c r="D18" s="63"/>
      <c r="E18" s="63"/>
      <c r="F18" s="63"/>
      <c r="G18" s="63"/>
      <c r="H18" s="63"/>
      <c r="I18" s="63"/>
      <c r="J18" s="63">
        <v>1</v>
      </c>
    </row>
    <row r="19" spans="1:10" x14ac:dyDescent="0.3">
      <c r="A19" s="129" t="s">
        <v>61</v>
      </c>
      <c r="B19" s="63"/>
      <c r="C19" s="63"/>
      <c r="D19" s="63"/>
      <c r="E19" s="63">
        <v>1</v>
      </c>
      <c r="F19" s="63"/>
      <c r="G19" s="63"/>
      <c r="H19" s="63"/>
      <c r="I19" s="63"/>
      <c r="J19" s="63">
        <v>1</v>
      </c>
    </row>
    <row r="20" spans="1:10" x14ac:dyDescent="0.3">
      <c r="A20" s="128" t="s">
        <v>62</v>
      </c>
      <c r="B20" s="63"/>
      <c r="C20" s="63"/>
      <c r="D20" s="63"/>
      <c r="E20" s="63"/>
      <c r="F20" s="63"/>
      <c r="G20" s="63"/>
      <c r="H20" s="63"/>
      <c r="I20" s="63"/>
      <c r="J20" s="63"/>
    </row>
    <row r="21" spans="1:10" x14ac:dyDescent="0.3">
      <c r="A21" s="129" t="s">
        <v>63</v>
      </c>
      <c r="B21" s="63"/>
      <c r="C21" s="63"/>
      <c r="D21" s="63"/>
      <c r="E21" s="63"/>
      <c r="F21" s="63"/>
      <c r="G21" s="63">
        <v>1</v>
      </c>
      <c r="H21" s="63"/>
      <c r="I21" s="63"/>
      <c r="J21" s="63">
        <v>1</v>
      </c>
    </row>
    <row r="22" spans="1:10" x14ac:dyDescent="0.3">
      <c r="A22" s="128" t="s">
        <v>64</v>
      </c>
      <c r="B22" s="63"/>
      <c r="C22" s="63"/>
      <c r="D22" s="63"/>
      <c r="E22" s="63"/>
      <c r="F22" s="63"/>
      <c r="G22" s="63"/>
      <c r="H22" s="63"/>
      <c r="I22" s="63"/>
      <c r="J22" s="63"/>
    </row>
    <row r="23" spans="1:10" x14ac:dyDescent="0.3">
      <c r="A23" s="129" t="s">
        <v>65</v>
      </c>
      <c r="B23" s="63"/>
      <c r="C23" s="63"/>
      <c r="D23" s="63"/>
      <c r="E23" s="63"/>
      <c r="F23" s="63">
        <v>1</v>
      </c>
      <c r="G23" s="63"/>
      <c r="H23" s="63"/>
      <c r="I23" s="63"/>
      <c r="J23" s="63">
        <v>1</v>
      </c>
    </row>
    <row r="24" spans="1:10" x14ac:dyDescent="0.3">
      <c r="A24" s="129" t="s">
        <v>66</v>
      </c>
      <c r="B24" s="63"/>
      <c r="C24" s="63"/>
      <c r="D24" s="63"/>
      <c r="E24" s="63">
        <v>1</v>
      </c>
      <c r="F24" s="63"/>
      <c r="G24" s="63"/>
      <c r="H24" s="63"/>
      <c r="I24" s="63"/>
      <c r="J24" s="63">
        <v>1</v>
      </c>
    </row>
    <row r="25" spans="1:10" x14ac:dyDescent="0.3">
      <c r="A25" s="129" t="s">
        <v>67</v>
      </c>
      <c r="B25" s="63"/>
      <c r="C25" s="63"/>
      <c r="D25" s="63"/>
      <c r="E25" s="63"/>
      <c r="F25" s="63"/>
      <c r="G25" s="63">
        <v>1</v>
      </c>
      <c r="H25" s="63"/>
      <c r="I25" s="63"/>
      <c r="J25" s="63">
        <v>1</v>
      </c>
    </row>
    <row r="26" spans="1:10" x14ac:dyDescent="0.3">
      <c r="A26" s="128" t="s">
        <v>68</v>
      </c>
      <c r="B26" s="63"/>
      <c r="C26" s="63"/>
      <c r="D26" s="63"/>
      <c r="E26" s="63"/>
      <c r="F26" s="63"/>
      <c r="G26" s="63"/>
      <c r="H26" s="63"/>
      <c r="I26" s="63"/>
      <c r="J26" s="63"/>
    </row>
    <row r="27" spans="1:10" x14ac:dyDescent="0.3">
      <c r="A27" s="129" t="s">
        <v>69</v>
      </c>
      <c r="B27" s="63">
        <v>1</v>
      </c>
      <c r="C27" s="63"/>
      <c r="D27" s="63"/>
      <c r="E27" s="63"/>
      <c r="F27" s="63"/>
      <c r="G27" s="63"/>
      <c r="H27" s="63"/>
      <c r="I27" s="63">
        <v>1</v>
      </c>
      <c r="J27" s="63">
        <v>2</v>
      </c>
    </row>
    <row r="28" spans="1:10" x14ac:dyDescent="0.3">
      <c r="A28" s="129" t="s">
        <v>70</v>
      </c>
      <c r="B28" s="63"/>
      <c r="C28" s="63"/>
      <c r="D28" s="63"/>
      <c r="E28" s="63"/>
      <c r="F28" s="63"/>
      <c r="G28" s="63">
        <v>1</v>
      </c>
      <c r="H28" s="63"/>
      <c r="I28" s="63"/>
      <c r="J28" s="63">
        <v>1</v>
      </c>
    </row>
    <row r="29" spans="1:10" x14ac:dyDescent="0.3">
      <c r="A29" s="128" t="s">
        <v>71</v>
      </c>
      <c r="B29" s="63"/>
      <c r="C29" s="63"/>
      <c r="D29" s="63"/>
      <c r="E29" s="63"/>
      <c r="F29" s="63"/>
      <c r="G29" s="63"/>
      <c r="H29" s="63"/>
      <c r="I29" s="63"/>
      <c r="J29" s="63"/>
    </row>
    <row r="30" spans="1:10" x14ac:dyDescent="0.3">
      <c r="A30" s="129" t="s">
        <v>72</v>
      </c>
      <c r="B30" s="63">
        <v>1</v>
      </c>
      <c r="C30" s="63"/>
      <c r="D30" s="63"/>
      <c r="E30" s="63"/>
      <c r="F30" s="63"/>
      <c r="G30" s="63"/>
      <c r="H30" s="63"/>
      <c r="I30" s="63"/>
      <c r="J30" s="63">
        <v>1</v>
      </c>
    </row>
    <row r="31" spans="1:10" x14ac:dyDescent="0.3">
      <c r="A31" s="129" t="s">
        <v>73</v>
      </c>
      <c r="B31" s="63"/>
      <c r="C31" s="63"/>
      <c r="D31" s="63"/>
      <c r="E31" s="63">
        <v>1</v>
      </c>
      <c r="F31" s="63"/>
      <c r="G31" s="63"/>
      <c r="H31" s="63"/>
      <c r="I31" s="63"/>
      <c r="J31" s="63">
        <v>1</v>
      </c>
    </row>
    <row r="32" spans="1:10" x14ac:dyDescent="0.3">
      <c r="A32" s="129" t="s">
        <v>74</v>
      </c>
      <c r="B32" s="63"/>
      <c r="C32" s="63"/>
      <c r="D32" s="63"/>
      <c r="E32" s="63"/>
      <c r="F32" s="63"/>
      <c r="G32" s="63">
        <v>1</v>
      </c>
      <c r="H32" s="63"/>
      <c r="I32" s="63"/>
      <c r="J32" s="63">
        <v>1</v>
      </c>
    </row>
    <row r="33" spans="1:10" x14ac:dyDescent="0.3">
      <c r="A33" s="128" t="s">
        <v>75</v>
      </c>
      <c r="B33" s="63"/>
      <c r="C33" s="63"/>
      <c r="D33" s="63"/>
      <c r="E33" s="63"/>
      <c r="F33" s="63"/>
      <c r="G33" s="63"/>
      <c r="H33" s="63"/>
      <c r="I33" s="63"/>
      <c r="J33" s="63"/>
    </row>
    <row r="34" spans="1:10" x14ac:dyDescent="0.3">
      <c r="A34" s="129" t="s">
        <v>76</v>
      </c>
      <c r="B34" s="63">
        <v>1</v>
      </c>
      <c r="C34" s="63"/>
      <c r="D34" s="63"/>
      <c r="E34" s="63"/>
      <c r="F34" s="63"/>
      <c r="G34" s="63"/>
      <c r="H34" s="63"/>
      <c r="I34" s="63"/>
      <c r="J34" s="63">
        <v>1</v>
      </c>
    </row>
    <row r="35" spans="1:10" x14ac:dyDescent="0.3">
      <c r="A35" s="129" t="s">
        <v>77</v>
      </c>
      <c r="B35" s="63"/>
      <c r="C35" s="63"/>
      <c r="D35" s="63"/>
      <c r="E35" s="63">
        <v>1</v>
      </c>
      <c r="F35" s="63"/>
      <c r="G35" s="63"/>
      <c r="H35" s="63"/>
      <c r="I35" s="63"/>
      <c r="J35" s="63">
        <v>1</v>
      </c>
    </row>
    <row r="36" spans="1:10" x14ac:dyDescent="0.3">
      <c r="A36" s="129" t="s">
        <v>78</v>
      </c>
      <c r="B36" s="63"/>
      <c r="C36" s="63"/>
      <c r="D36" s="63"/>
      <c r="E36" s="63"/>
      <c r="F36" s="63"/>
      <c r="G36" s="63">
        <v>1</v>
      </c>
      <c r="H36" s="63"/>
      <c r="I36" s="63"/>
      <c r="J36" s="63">
        <v>1</v>
      </c>
    </row>
    <row r="37" spans="1:10" x14ac:dyDescent="0.3">
      <c r="A37" s="128" t="s">
        <v>79</v>
      </c>
      <c r="B37" s="63"/>
      <c r="C37" s="63"/>
      <c r="D37" s="63"/>
      <c r="E37" s="63"/>
      <c r="F37" s="63"/>
      <c r="G37" s="63"/>
      <c r="H37" s="63"/>
      <c r="I37" s="63"/>
      <c r="J37" s="63"/>
    </row>
    <row r="38" spans="1:10" x14ac:dyDescent="0.3">
      <c r="A38" s="129" t="s">
        <v>80</v>
      </c>
      <c r="B38" s="63">
        <v>1</v>
      </c>
      <c r="C38" s="63"/>
      <c r="D38" s="63"/>
      <c r="E38" s="63">
        <v>1</v>
      </c>
      <c r="F38" s="63"/>
      <c r="G38" s="63"/>
      <c r="H38" s="63"/>
      <c r="I38" s="63"/>
      <c r="J38" s="63">
        <v>2</v>
      </c>
    </row>
    <row r="39" spans="1:10" x14ac:dyDescent="0.3">
      <c r="A39" s="129" t="s">
        <v>81</v>
      </c>
      <c r="B39" s="63"/>
      <c r="C39" s="63"/>
      <c r="D39" s="63"/>
      <c r="E39" s="63"/>
      <c r="F39" s="63"/>
      <c r="G39" s="63">
        <v>1</v>
      </c>
      <c r="H39" s="63"/>
      <c r="I39" s="63"/>
      <c r="J39" s="63">
        <v>1</v>
      </c>
    </row>
    <row r="40" spans="1:10" x14ac:dyDescent="0.3">
      <c r="A40" s="62" t="s">
        <v>44</v>
      </c>
      <c r="B40" s="63">
        <v>12</v>
      </c>
      <c r="C40" s="63">
        <v>1</v>
      </c>
      <c r="D40" s="63">
        <v>1</v>
      </c>
      <c r="E40" s="63">
        <v>9</v>
      </c>
      <c r="F40" s="63">
        <v>1</v>
      </c>
      <c r="G40" s="63">
        <v>10</v>
      </c>
      <c r="H40" s="63">
        <v>1</v>
      </c>
      <c r="I40" s="63">
        <v>1</v>
      </c>
      <c r="J40" s="63">
        <v>36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42"/>
  <sheetViews>
    <sheetView workbookViewId="0">
      <pane ySplit="6" topLeftCell="A7" activePane="bottomLeft" state="frozen"/>
      <selection pane="bottomLeft" activeCell="I43" sqref="I6:I43"/>
    </sheetView>
  </sheetViews>
  <sheetFormatPr baseColWidth="10" defaultRowHeight="14" x14ac:dyDescent="0.3"/>
  <cols>
    <col min="1" max="1" width="10.5" style="2" customWidth="1"/>
    <col min="2" max="2" width="14.83203125" style="1" customWidth="1"/>
    <col min="3" max="3" width="14.08203125" style="4" customWidth="1"/>
    <col min="4" max="4" width="14.08203125" style="9" customWidth="1"/>
    <col min="5" max="5" width="17.75" style="1" customWidth="1"/>
    <col min="6" max="6" width="16.1640625" style="1" customWidth="1"/>
    <col min="7" max="7" width="12.25" customWidth="1"/>
    <col min="8" max="9" width="15.08203125" customWidth="1"/>
    <col min="10" max="10" width="5.83203125" customWidth="1"/>
    <col min="11" max="12" width="15.33203125" customWidth="1"/>
    <col min="13" max="16" width="7.83203125" customWidth="1"/>
    <col min="17" max="18" width="7.83203125" style="3" customWidth="1"/>
    <col min="19" max="20" width="7.83203125" customWidth="1"/>
    <col min="21" max="22" width="15.33203125" customWidth="1"/>
    <col min="23" max="29" width="12.58203125" customWidth="1"/>
    <col min="30" max="30" width="13.58203125" customWidth="1"/>
    <col min="33" max="33" width="15.25" customWidth="1"/>
    <col min="34" max="34" width="11.33203125" customWidth="1"/>
    <col min="35" max="35" width="3.58203125" customWidth="1"/>
    <col min="36" max="36" width="3.25" customWidth="1"/>
    <col min="37" max="37" width="3.5" customWidth="1"/>
    <col min="38" max="38" width="3.33203125" customWidth="1"/>
    <col min="39" max="39" width="3.5" customWidth="1"/>
    <col min="40" max="40" width="3.33203125" customWidth="1"/>
    <col min="41" max="41" width="3.75" customWidth="1"/>
    <col min="42" max="42" width="12.58203125" customWidth="1"/>
    <col min="43" max="44" width="6.33203125" customWidth="1"/>
    <col min="45" max="45" width="6" customWidth="1"/>
    <col min="46" max="50" width="7.25" customWidth="1"/>
    <col min="51" max="53" width="6.08203125" customWidth="1"/>
    <col min="54" max="56" width="6.75" customWidth="1"/>
    <col min="57" max="58" width="6.58203125" customWidth="1"/>
    <col min="59" max="59" width="12.58203125" customWidth="1"/>
    <col min="60" max="60" width="5.08203125" customWidth="1"/>
    <col min="61" max="61" width="8.33203125" customWidth="1"/>
    <col min="62" max="62" width="5.25" customWidth="1"/>
    <col min="63" max="63" width="8.5" customWidth="1"/>
    <col min="64" max="64" width="5.08203125" customWidth="1"/>
    <col min="65" max="65" width="8.33203125" customWidth="1"/>
    <col min="66" max="66" width="5.5" customWidth="1"/>
    <col min="67" max="67" width="8.75" customWidth="1"/>
    <col min="68" max="68" width="12.58203125" bestFit="1" customWidth="1"/>
  </cols>
  <sheetData>
    <row r="1" spans="1:42" ht="15" customHeight="1" thickTop="1" thickBot="1" x14ac:dyDescent="0.35">
      <c r="A1" s="93" t="s">
        <v>2</v>
      </c>
      <c r="B1" s="95" t="str">
        <f>"Moyenne Pcs/Heure "&amp;$A$3</f>
        <v>Moyenne Pcs/Heure AK</v>
      </c>
      <c r="C1" s="106" t="str">
        <f>"Min Pcs/Heure "&amp;$A$3</f>
        <v>Min Pcs/Heure AK</v>
      </c>
      <c r="D1" s="95" t="str">
        <f>"Max Pcs/Heure "&amp;$A$3</f>
        <v>Max Pcs/Heure AK</v>
      </c>
      <c r="E1" s="95" t="str">
        <f>"Total Pièces "&amp;$A$3</f>
        <v>Total Pièces AK</v>
      </c>
      <c r="F1" s="108" t="str">
        <f>"Moyenne Pcs/Heure/Type "&amp;$A$3</f>
        <v>Moyenne Pcs/Heure/Type AK</v>
      </c>
      <c r="G1" s="109"/>
      <c r="H1" s="104" t="str">
        <f>"Total Pcs/Type "&amp;$A$3</f>
        <v>Total Pcs/Type AK</v>
      </c>
      <c r="I1" s="102" t="str">
        <f>"Moy. Du Jour. "&amp;$A$3</f>
        <v>Moy. Du Jour. AK</v>
      </c>
      <c r="J1" s="68"/>
      <c r="K1" s="21" t="s">
        <v>36</v>
      </c>
      <c r="L1" s="27" t="s">
        <v>32</v>
      </c>
      <c r="M1" s="92" t="str">
        <f>"Janvier "&amp;$A$3</f>
        <v>Janvier AK</v>
      </c>
      <c r="N1" s="90"/>
      <c r="O1" s="86" t="str">
        <f>"Février "&amp;$A$3</f>
        <v>Février AK</v>
      </c>
      <c r="P1" s="90"/>
      <c r="Q1" s="86" t="str">
        <f>"Mars "&amp;$A$3</f>
        <v>Mars AK</v>
      </c>
      <c r="R1" s="90"/>
      <c r="S1" s="86" t="str">
        <f>"Avril "&amp;$A$3</f>
        <v>Avril AK</v>
      </c>
      <c r="T1" s="87"/>
      <c r="U1" s="124" t="s">
        <v>37</v>
      </c>
      <c r="V1" s="64"/>
      <c r="W1" s="51" t="str">
        <f>"Janvier "&amp;$A$3</f>
        <v>Janvier AK</v>
      </c>
      <c r="X1" s="51" t="str">
        <f>"Février "&amp;$A$3</f>
        <v>Février AK</v>
      </c>
      <c r="Y1" s="51" t="str">
        <f>"Mars "&amp;$A$3</f>
        <v>Mars AK</v>
      </c>
      <c r="Z1" s="52" t="str">
        <f>"Avril "&amp;$A$3</f>
        <v>Avril AK</v>
      </c>
      <c r="AA1" s="39" t="s">
        <v>18</v>
      </c>
      <c r="AB1" s="40" t="s">
        <v>19</v>
      </c>
      <c r="AC1" s="40" t="s">
        <v>20</v>
      </c>
      <c r="AD1" s="41" t="s">
        <v>21</v>
      </c>
      <c r="AE1" s="101" t="s">
        <v>15</v>
      </c>
      <c r="AF1" s="101" t="s">
        <v>16</v>
      </c>
    </row>
    <row r="2" spans="1:42" ht="15" customHeight="1" thickBot="1" x14ac:dyDescent="0.35">
      <c r="A2" s="94"/>
      <c r="B2" s="96"/>
      <c r="C2" s="107"/>
      <c r="D2" s="96"/>
      <c r="E2" s="96"/>
      <c r="F2" s="110"/>
      <c r="G2" s="111"/>
      <c r="H2" s="105"/>
      <c r="I2" s="103"/>
      <c r="J2" s="68"/>
      <c r="K2" s="22">
        <f>SUM(C7:C42)</f>
        <v>720</v>
      </c>
      <c r="L2" s="28">
        <f ca="1">SUMIF(A7:A42,TODAY(),C7:C42)</f>
        <v>0</v>
      </c>
      <c r="M2" s="33">
        <f>W2/AA2</f>
        <v>0</v>
      </c>
      <c r="N2" s="53" t="e">
        <f>SUMPRODUCT(1/SUMIFS($A$7:$A$42,$B$7:$B$42,$A$3,$A$7:$A$42,"&gt;=01.01."&amp;$I$6,$A$7:$A$42,"&lt;01.02."&amp;$I$6))</f>
        <v>#DIV/0!</v>
      </c>
      <c r="O2" s="34">
        <f>X2/AB2</f>
        <v>0</v>
      </c>
      <c r="P2" s="56" t="e">
        <f>SUMPRODUCT(1/COUNTIF(A7:A42,SUMIFS($A$7:$A$42,$B$7:$B$42,$A$3,$A$7:$A$42,"&gt;=01.02."&amp;$I$6,$A$7:$A$42,"&lt;01.03."&amp;$I$6)))</f>
        <v>#DIV/0!</v>
      </c>
      <c r="Q2" s="34">
        <f>Y2/AC2</f>
        <v>0</v>
      </c>
      <c r="R2" s="57" t="e">
        <f>SUMPRODUCT(1/COUNTIF(A7:A42,SUMIFS($A$7:$A$42,$B$7:$B$42,$A$3,$A$7:$A$42,"&gt;=01.03."&amp;$I$6,$A$7:$A$42,"&lt;01.04."&amp;$I$6)))</f>
        <v>#DIV/0!</v>
      </c>
      <c r="S2" s="34">
        <f t="shared" ref="S2" si="0">Z2/AD2</f>
        <v>0</v>
      </c>
      <c r="T2" s="60" t="e">
        <f>SUMPRODUCT(1/COUNTIF(A7:A42,SUMIFS($A$7:$A$42,$B$7:$B$42,$A$3,$A$7:$A$42,"&gt;=01.04."&amp;$I$6,$A$7:$A$42,"&lt;01.05."&amp;$I$6)))</f>
        <v>#DIV/0!</v>
      </c>
      <c r="U2" s="125"/>
      <c r="V2" s="64"/>
      <c r="W2" s="51">
        <f>SUMIFS($C$7:$C$42,$B$7:$B$42,$A$3,$A$7:$A$42,"&gt;=01.01."&amp;$I$6,$A$7:$A$42,"&lt;01.02."&amp;$I$6)</f>
        <v>0</v>
      </c>
      <c r="X2" s="51">
        <f>SUMIFS($C$7:$C$42,$B$7:$B$42,$A$3,$A$7:$A$42,"&gt;=01.02."&amp;$I$6,$A$7:$A$42,"&lt;01.03."&amp;$I$6)</f>
        <v>0</v>
      </c>
      <c r="Y2" s="51">
        <f>SUMIFS($C$7:$C$42,$B$7:$B$42,$A$3,$A$7:$A$42,"&gt;=01.03."&amp;$I$6,$A$7:$A$42,"&lt;01.04."&amp;$I$6)</f>
        <v>0</v>
      </c>
      <c r="Z2" s="52">
        <f>SUMIFS($C$7:$C$42,$B$7:$B$42,$A$3,$A$7:$A$42,"&gt;=01.04."&amp;$I$6,$A$7:$A$42,"&lt;01.05."&amp;$I$6)</f>
        <v>0</v>
      </c>
      <c r="AA2" s="42">
        <v>100</v>
      </c>
      <c r="AB2" s="38">
        <v>60</v>
      </c>
      <c r="AC2" s="38">
        <v>80</v>
      </c>
      <c r="AD2" s="43">
        <v>90</v>
      </c>
      <c r="AE2" s="101"/>
      <c r="AF2" s="101"/>
    </row>
    <row r="3" spans="1:42" ht="15" customHeight="1" thickBot="1" x14ac:dyDescent="0.35">
      <c r="A3" s="97" t="s">
        <v>3</v>
      </c>
      <c r="B3" s="99">
        <f>AVERAGEIF($B7:$B42,$A$3,$F7:$F42)</f>
        <v>41.978439127416109</v>
      </c>
      <c r="C3" s="120">
        <f t="array" ref="C3">MIN(IF(B7:B42=$A$3,F7:F42))</f>
        <v>10</v>
      </c>
      <c r="D3" s="99">
        <f t="array" ref="D3">MAX(IF(B7:B42=$A$3,F7:F42))</f>
        <v>120</v>
      </c>
      <c r="E3" s="118">
        <f>SUMIF($B7:$B42,$A$3,$C7:$C42)</f>
        <v>140</v>
      </c>
      <c r="F3" s="112">
        <f>AVERAGEIFS($F7:$F42,$G7:$G42,$G$3,$B7:$B42,$A$3)</f>
        <v>56.541514041514041</v>
      </c>
      <c r="G3" s="116" t="s">
        <v>9</v>
      </c>
      <c r="H3" s="114">
        <f>SUMIFS($C7:$C42,$G7:$G42,$G$3,$B7:$B42,$A$3)</f>
        <v>60</v>
      </c>
      <c r="I3" s="112" t="e">
        <f ca="1">AVERAGEIFS(F7:F42,A7:A42,TODAY(),B7:B42,$A$3)</f>
        <v>#DIV/0!</v>
      </c>
      <c r="J3" s="68"/>
      <c r="K3" s="23" t="s">
        <v>35</v>
      </c>
      <c r="L3" s="29" t="s">
        <v>33</v>
      </c>
      <c r="M3" s="91" t="str">
        <f>"Mai "&amp;$A$3</f>
        <v>Mai AK</v>
      </c>
      <c r="N3" s="89"/>
      <c r="O3" s="88" t="str">
        <f>"Juin "&amp;$A$3</f>
        <v>Juin AK</v>
      </c>
      <c r="P3" s="89"/>
      <c r="Q3" s="88" t="str">
        <f>"Juillet "&amp;$A$3</f>
        <v>Juillet AK</v>
      </c>
      <c r="R3" s="89"/>
      <c r="S3" s="126" t="str">
        <f>"Août "&amp;$A$3</f>
        <v>Août AK</v>
      </c>
      <c r="T3" s="127"/>
      <c r="U3" s="125"/>
      <c r="V3" s="64"/>
      <c r="W3" s="51" t="str">
        <f>"Mai "&amp;$A$3</f>
        <v>Mai AK</v>
      </c>
      <c r="X3" s="51" t="str">
        <f>"Juin"&amp;$A$3</f>
        <v>JuinAK</v>
      </c>
      <c r="Y3" s="51" t="str">
        <f>"Juillet "&amp;$A$3</f>
        <v>Juillet AK</v>
      </c>
      <c r="Z3" s="52" t="str">
        <f>"Août "&amp;$A$3</f>
        <v>Août AK</v>
      </c>
      <c r="AA3" s="44" t="s">
        <v>22</v>
      </c>
      <c r="AB3" s="37" t="s">
        <v>23</v>
      </c>
      <c r="AC3" s="37" t="s">
        <v>24</v>
      </c>
      <c r="AD3" s="45" t="s">
        <v>25</v>
      </c>
      <c r="AE3" s="101"/>
      <c r="AF3" s="101"/>
    </row>
    <row r="4" spans="1:42" ht="15" customHeight="1" thickBot="1" x14ac:dyDescent="0.35">
      <c r="A4" s="98"/>
      <c r="B4" s="100"/>
      <c r="C4" s="121"/>
      <c r="D4" s="100"/>
      <c r="E4" s="119"/>
      <c r="F4" s="113"/>
      <c r="G4" s="117"/>
      <c r="H4" s="115"/>
      <c r="I4" s="113"/>
      <c r="J4" s="68"/>
      <c r="K4" s="24">
        <f t="array" ref="K4">K2/SUM(IF(A7:A42&lt;&gt;"",1/COUNTIF(A7:A42,A7:A42)))</f>
        <v>28.8</v>
      </c>
      <c r="L4" s="30">
        <f>MAX(AF7:AF42)</f>
        <v>150</v>
      </c>
      <c r="M4" s="33">
        <f>W4/AA4</f>
        <v>0</v>
      </c>
      <c r="N4" s="61">
        <f>SUMIFS($A$7:$A$42,$B$7:$B$42,$A$3,$A$7:$A$42,"&gt;=01.05."&amp;$I$6,$A$7:$A$42,"&lt;01.06."&amp;$I$6)</f>
        <v>0</v>
      </c>
      <c r="O4" s="34">
        <f>X4/AB4</f>
        <v>0</v>
      </c>
      <c r="P4" s="56" t="e">
        <f>SUMPRODUCT(1/COUNTIF(A7:A42,SUMIFS($A$7:$A$42,$B$7:$B$42,$A$3,$A$7:$A$42,"&gt;=01.06."&amp;$I$6,$A$7:$A$42,"&lt;01.07."&amp;$I$6)))</f>
        <v>#DIV/0!</v>
      </c>
      <c r="Q4" s="34">
        <f>Y4/AC4</f>
        <v>0</v>
      </c>
      <c r="R4" s="57" t="e">
        <f>SUMPRODUCT(1/COUNTIF(A7:A42,SUMIFS($A$7:$A$42,$B$7:$B$42,$A$3,$A$7:$A$42,"&gt;=01.07."&amp;$I$6,$A$7:$A$42,"&lt;01.08."&amp;$I$6)))</f>
        <v>#DIV/0!</v>
      </c>
      <c r="S4" s="34">
        <f t="shared" ref="S4" si="1">Z4/AD4</f>
        <v>0</v>
      </c>
      <c r="T4" s="60" t="e">
        <f>SUMPRODUCT(1/COUNTIF(A7:A42,SUMIFS($A$7:$A$42,$B$7:$B$42,$A$3,$A$7:$A$42,"&gt;=01.08."&amp;$I$6,$A$7:$A$42,"&lt;01.09."&amp;$I$6)))</f>
        <v>#DIV/0!</v>
      </c>
      <c r="U4" s="122">
        <f>AVERAGE(M2,O2,Q2,S2,M4,O4,Q4,S4,M6,O6,Q6,S6)</f>
        <v>0</v>
      </c>
      <c r="V4" s="65"/>
      <c r="W4" s="51">
        <f>SUMIFS($C$7:$C$42,$B$7:$B$42,$A$3,$A$7:$A$42,"&gt;=01.05."&amp;$I$6,$A$7:$A$42,"&lt;01.06."&amp;$I$6)</f>
        <v>0</v>
      </c>
      <c r="X4" s="51">
        <f>SUMIFS($C$7:$C$42,$B$7:$B$42,$A$3,$A$7:$A$42,"&gt;=01.06."&amp;$I$6,$A$7:$A$42,"&lt;01.07."&amp;$I$6)</f>
        <v>0</v>
      </c>
      <c r="Y4" s="51">
        <f>SUMIFS($C$7:$C$42,$B$7:$B$42,$A$3,$A$7:$A$42,"&gt;=01.07."&amp;$I$6,$A$7:$A$42,"&lt;01.08."&amp;$I$6)</f>
        <v>0</v>
      </c>
      <c r="Z4" s="52">
        <f>SUMIFS($C$7:$C$42,$B$7:$B$42,$A$3,$A$7:$A$42,"&gt;=01.08."&amp;$I$6,$A$7:$A$42,"&lt;01.09."&amp;$I$6)</f>
        <v>0</v>
      </c>
      <c r="AA4" s="46">
        <v>60</v>
      </c>
      <c r="AB4" s="38">
        <v>70</v>
      </c>
      <c r="AC4" s="38">
        <v>80</v>
      </c>
      <c r="AD4" s="47">
        <v>90</v>
      </c>
      <c r="AE4" s="101"/>
      <c r="AF4" s="101"/>
    </row>
    <row r="5" spans="1:42" ht="15" customHeight="1" thickBot="1" x14ac:dyDescent="0.35">
      <c r="J5" s="68"/>
      <c r="K5" s="25" t="s">
        <v>14</v>
      </c>
      <c r="L5" s="31" t="s">
        <v>34</v>
      </c>
      <c r="M5" s="91" t="str">
        <f>"Septembre "&amp;$A$3</f>
        <v>Septembre AK</v>
      </c>
      <c r="N5" s="89"/>
      <c r="O5" s="88" t="str">
        <f>"Octobre "&amp;$A$3</f>
        <v>Octobre AK</v>
      </c>
      <c r="P5" s="89"/>
      <c r="Q5" s="88" t="str">
        <f>"Novembre "&amp;$A$3</f>
        <v>Novembre AK</v>
      </c>
      <c r="R5" s="89"/>
      <c r="S5" s="126" t="str">
        <f>"Décembre "&amp;$A$3</f>
        <v>Décembre AK</v>
      </c>
      <c r="T5" s="127"/>
      <c r="U5" s="122"/>
      <c r="V5" s="65"/>
      <c r="W5" s="51" t="str">
        <f>"Septembre "&amp;$A$3</f>
        <v>Septembre AK</v>
      </c>
      <c r="X5" s="51" t="str">
        <f>"Octobre "&amp;$A$3</f>
        <v>Octobre AK</v>
      </c>
      <c r="Y5" s="51" t="str">
        <f>"Novembre "&amp;$A$3</f>
        <v>Novembre AK</v>
      </c>
      <c r="Z5" s="52" t="str">
        <f>"Décembre "&amp;$A$3</f>
        <v>Décembre AK</v>
      </c>
      <c r="AA5" s="44" t="s">
        <v>26</v>
      </c>
      <c r="AB5" s="37" t="s">
        <v>27</v>
      </c>
      <c r="AC5" s="37" t="s">
        <v>28</v>
      </c>
      <c r="AD5" s="45" t="s">
        <v>29</v>
      </c>
      <c r="AE5" s="101"/>
      <c r="AF5" s="101"/>
    </row>
    <row r="6" spans="1:42" ht="36.5" thickBot="1" x14ac:dyDescent="0.35">
      <c r="A6" s="79" t="s">
        <v>4</v>
      </c>
      <c r="B6" s="80" t="s">
        <v>2</v>
      </c>
      <c r="C6" s="81" t="s">
        <v>17</v>
      </c>
      <c r="D6" s="82" t="s">
        <v>6</v>
      </c>
      <c r="E6" s="81" t="s">
        <v>0</v>
      </c>
      <c r="F6" s="83" t="s">
        <v>1</v>
      </c>
      <c r="G6" s="80" t="s">
        <v>30</v>
      </c>
      <c r="H6" s="84" t="s">
        <v>31</v>
      </c>
      <c r="J6" s="68"/>
      <c r="K6" s="26">
        <f>AVERAGEIF(A7:A42,"&lt;&gt;",F7:F42)</f>
        <v>254.31559716800197</v>
      </c>
      <c r="L6" s="32">
        <f>LARGE(AF7:AF42,MAX(1,COUNTIF(AF7:AF42,"&gt;0")))</f>
        <v>60</v>
      </c>
      <c r="M6" s="36">
        <f>W6/AA6</f>
        <v>0</v>
      </c>
      <c r="N6" s="54" t="e">
        <f>SUMPRODUCT(1/COUNTIFS(A7:A42,SUMIFS($A$7:$A$42,$B$7:$B$42,$A$3,$A$7:$A$42,"&gt;=01.09."&amp;$I$6,$A$7:$A$42,"&lt;01.10."&amp;$I$6)))</f>
        <v>#DIV/0!</v>
      </c>
      <c r="O6" s="35">
        <f>X6/AB6</f>
        <v>0</v>
      </c>
      <c r="P6" s="55" t="e">
        <f>SUMPRODUCT(1/COUNTIF(A7:A42,SUMIFS($A$7:$A$42,$B$7:$B$42,$A$3,$A$7:$A$42,"&gt;=01.10."&amp;$I$6,$A$7:$A$42,"&lt;01.11."&amp;$I$6)))</f>
        <v>#DIV/0!</v>
      </c>
      <c r="Q6" s="35">
        <f>Y6/AC6</f>
        <v>0</v>
      </c>
      <c r="R6" s="58" t="e">
        <f>SUMPRODUCT(1/COUNTIF(A7:A42,SUMIFS($A$7:$A$42,$B$7:$B$42,$A$3,$A$7:$A$42,"&gt;=01.11."&amp;$I$6,$A$7:$A$42,"&lt;01.12."&amp;$I$6)))</f>
        <v>#DIV/0!</v>
      </c>
      <c r="S6" s="35">
        <f t="shared" ref="S6" si="2">Z6/AD6</f>
        <v>0</v>
      </c>
      <c r="T6" s="59" t="e">
        <f>SUMPRODUCT(1/COUNTIF(A7:A42,SUMIFS($A$7:$A$42,$B$7:$B$42,$A$3,$A$7:$A$42,"&gt;=01.12."&amp;$I$6,$A$7:$A$42,"&lt;=31.12."&amp;$I$6)))</f>
        <v>#DIV/0!</v>
      </c>
      <c r="U6" s="123"/>
      <c r="V6" s="65"/>
      <c r="W6" s="51">
        <f>SUMIFS($C$7:$C$42,$B$7:$B$42,$A$3,$A$7:$A$42,"&gt;=01.09."&amp;$I$6,$A$7:$A$42,"&lt;01.10."&amp;$I$6)</f>
        <v>0</v>
      </c>
      <c r="X6" s="51">
        <f>SUMIFS($C$7:$C$42,$B$7:$B$42,$A$3,$A$7:$A$42,"&gt;=01.10."&amp;$I$6,$A$7:$A$42,"&lt;01.11."&amp;$I$6)</f>
        <v>0</v>
      </c>
      <c r="Y6" s="51">
        <f>SUMIFS($C$7:$C$42,$B$7:$B$42,$A$3,$A$7:$A$42,"&gt;=01.11."&amp;$I$6,$A$7:$A$42,"&lt;01.12."&amp;$I$6)</f>
        <v>0</v>
      </c>
      <c r="Z6" s="52">
        <f>SUMIFS($C$7:$C$42,$B$7:$B$42,$A$3,$A$7:$A$42,"&gt;=01.12."&amp;$I$6,$A$7:$A$42,"&lt;=31.12."&amp;$I$6)</f>
        <v>0</v>
      </c>
      <c r="AA6" s="48">
        <v>100</v>
      </c>
      <c r="AB6" s="49">
        <v>150</v>
      </c>
      <c r="AC6" s="49">
        <v>200</v>
      </c>
      <c r="AD6" s="50">
        <v>250</v>
      </c>
      <c r="AE6" s="101"/>
      <c r="AF6" s="101"/>
    </row>
    <row r="7" spans="1:42" ht="14.5" thickTop="1" x14ac:dyDescent="0.3">
      <c r="A7" s="69">
        <v>44197</v>
      </c>
      <c r="B7" s="5" t="s">
        <v>3</v>
      </c>
      <c r="C7" s="11">
        <v>10</v>
      </c>
      <c r="D7" s="13">
        <v>3.472222222222222E-3</v>
      </c>
      <c r="E7" s="18">
        <f t="shared" ref="E7:E42" si="3">$C7/$D7/(24*60)</f>
        <v>2</v>
      </c>
      <c r="F7" s="12">
        <f t="shared" ref="F7:F42" si="4">$C7/$D7/24</f>
        <v>120</v>
      </c>
      <c r="G7" s="14" t="s">
        <v>9</v>
      </c>
      <c r="H7" s="67"/>
      <c r="J7" s="68"/>
      <c r="K7" s="20"/>
      <c r="AE7" s="16">
        <f>A7</f>
        <v>44197</v>
      </c>
      <c r="AF7" s="17">
        <f t="shared" ref="AF7:AF42" si="5">SUMIF($A$7:$A$42,AE7,$C$7:$C$42)</f>
        <v>150</v>
      </c>
    </row>
    <row r="8" spans="1:42" x14ac:dyDescent="0.3">
      <c r="A8" s="70">
        <v>44197</v>
      </c>
      <c r="B8" s="6" t="s">
        <v>5</v>
      </c>
      <c r="C8" s="7">
        <v>20</v>
      </c>
      <c r="D8" s="8">
        <v>5.5555555555555558E-3</v>
      </c>
      <c r="E8" s="19">
        <f t="shared" si="3"/>
        <v>2.5</v>
      </c>
      <c r="F8" s="10">
        <f t="shared" si="4"/>
        <v>150</v>
      </c>
      <c r="G8" s="15" t="s">
        <v>8</v>
      </c>
      <c r="H8" s="66"/>
      <c r="J8" s="68"/>
      <c r="AE8" s="16">
        <f>AE7+1</f>
        <v>44198</v>
      </c>
      <c r="AF8" s="17">
        <f t="shared" si="5"/>
        <v>60</v>
      </c>
    </row>
    <row r="9" spans="1:42" x14ac:dyDescent="0.3">
      <c r="A9" s="70">
        <v>44197</v>
      </c>
      <c r="B9" s="6" t="s">
        <v>7</v>
      </c>
      <c r="C9" s="7">
        <v>30</v>
      </c>
      <c r="D9" s="8">
        <v>6.9444444444444447E-4</v>
      </c>
      <c r="E9" s="19">
        <f t="shared" si="3"/>
        <v>30</v>
      </c>
      <c r="F9" s="10">
        <f t="shared" si="4"/>
        <v>1800</v>
      </c>
      <c r="G9" s="15" t="s">
        <v>10</v>
      </c>
      <c r="H9" s="66"/>
      <c r="J9" s="68"/>
      <c r="AE9" s="16">
        <f t="shared" ref="AE9:AE42" si="6">AE8+1</f>
        <v>44199</v>
      </c>
      <c r="AF9" s="17">
        <f t="shared" si="5"/>
        <v>0</v>
      </c>
      <c r="AG9" s="62"/>
      <c r="AH9" s="63"/>
      <c r="AI9" s="63"/>
      <c r="AJ9" s="63"/>
      <c r="AK9" s="63"/>
      <c r="AL9" s="63"/>
      <c r="AM9" s="63"/>
      <c r="AN9" s="63"/>
      <c r="AO9" s="63"/>
      <c r="AP9" s="63"/>
    </row>
    <row r="10" spans="1:42" x14ac:dyDescent="0.3">
      <c r="A10" s="70">
        <v>44197</v>
      </c>
      <c r="B10" s="6" t="s">
        <v>3</v>
      </c>
      <c r="C10" s="7">
        <v>10</v>
      </c>
      <c r="D10" s="8">
        <v>4.1666666666666664E-2</v>
      </c>
      <c r="E10" s="19">
        <f t="shared" si="3"/>
        <v>0.16666666666666666</v>
      </c>
      <c r="F10" s="10">
        <f t="shared" si="4"/>
        <v>10</v>
      </c>
      <c r="G10" s="15" t="s">
        <v>11</v>
      </c>
      <c r="H10" s="66"/>
      <c r="J10" s="68"/>
      <c r="AE10" s="16">
        <f t="shared" si="6"/>
        <v>44200</v>
      </c>
      <c r="AF10" s="17">
        <f t="shared" si="5"/>
        <v>0</v>
      </c>
      <c r="AG10" s="62"/>
      <c r="AH10" s="63"/>
      <c r="AI10" s="63"/>
      <c r="AJ10" s="63"/>
      <c r="AK10" s="63"/>
      <c r="AL10" s="63"/>
      <c r="AM10" s="63"/>
      <c r="AN10" s="63"/>
      <c r="AO10" s="63"/>
      <c r="AP10" s="63"/>
    </row>
    <row r="11" spans="1:42" x14ac:dyDescent="0.3">
      <c r="A11" s="70">
        <v>44197</v>
      </c>
      <c r="B11" s="6" t="s">
        <v>5</v>
      </c>
      <c r="C11" s="7">
        <v>20</v>
      </c>
      <c r="D11" s="8">
        <v>3.472222222222222E-3</v>
      </c>
      <c r="E11" s="19">
        <f t="shared" si="3"/>
        <v>4</v>
      </c>
      <c r="F11" s="10">
        <f t="shared" si="4"/>
        <v>240</v>
      </c>
      <c r="G11" s="15" t="s">
        <v>13</v>
      </c>
      <c r="H11" s="66"/>
      <c r="J11" s="68"/>
      <c r="AE11" s="16">
        <f t="shared" si="6"/>
        <v>44201</v>
      </c>
      <c r="AF11" s="17">
        <f t="shared" si="5"/>
        <v>0</v>
      </c>
      <c r="AG11" s="62"/>
      <c r="AH11" s="63"/>
      <c r="AI11" s="63"/>
      <c r="AJ11" s="63"/>
      <c r="AK11" s="63"/>
      <c r="AL11" s="63"/>
      <c r="AM11" s="63"/>
      <c r="AN11" s="63"/>
      <c r="AO11" s="63"/>
      <c r="AP11" s="63"/>
    </row>
    <row r="12" spans="1:42" x14ac:dyDescent="0.3">
      <c r="A12" s="70">
        <v>44197</v>
      </c>
      <c r="B12" s="6" t="s">
        <v>7</v>
      </c>
      <c r="C12" s="7">
        <v>30</v>
      </c>
      <c r="D12" s="8">
        <v>6.2499999999999995E-3</v>
      </c>
      <c r="E12" s="19">
        <f t="shared" si="3"/>
        <v>3.3333333333333335</v>
      </c>
      <c r="F12" s="10">
        <f t="shared" si="4"/>
        <v>200</v>
      </c>
      <c r="G12" s="15" t="s">
        <v>12</v>
      </c>
      <c r="H12" s="66"/>
      <c r="J12" s="68"/>
      <c r="AE12" s="16">
        <f t="shared" si="6"/>
        <v>44202</v>
      </c>
      <c r="AF12" s="17">
        <f t="shared" si="5"/>
        <v>0</v>
      </c>
      <c r="AG12" s="62"/>
      <c r="AH12" s="63"/>
      <c r="AI12" s="63"/>
      <c r="AJ12" s="63"/>
      <c r="AK12" s="63"/>
      <c r="AL12" s="63"/>
      <c r="AM12" s="63"/>
      <c r="AN12" s="63"/>
      <c r="AO12" s="63"/>
      <c r="AP12" s="63"/>
    </row>
    <row r="13" spans="1:42" x14ac:dyDescent="0.3">
      <c r="A13" s="70">
        <v>44197</v>
      </c>
      <c r="B13" s="6" t="s">
        <v>3</v>
      </c>
      <c r="C13" s="7">
        <v>10</v>
      </c>
      <c r="D13" s="8">
        <v>6.9444444444444441E-3</v>
      </c>
      <c r="E13" s="19">
        <f t="shared" si="3"/>
        <v>1</v>
      </c>
      <c r="F13" s="10">
        <f t="shared" si="4"/>
        <v>60</v>
      </c>
      <c r="G13" s="15" t="s">
        <v>9</v>
      </c>
      <c r="H13" s="66"/>
      <c r="J13" s="68"/>
      <c r="AE13" s="16">
        <f t="shared" si="6"/>
        <v>44203</v>
      </c>
      <c r="AF13" s="17">
        <f t="shared" si="5"/>
        <v>0</v>
      </c>
      <c r="AG13" s="62"/>
      <c r="AH13" s="63"/>
      <c r="AI13" s="63"/>
      <c r="AJ13" s="63"/>
      <c r="AK13" s="63"/>
      <c r="AL13" s="63"/>
      <c r="AM13" s="63"/>
      <c r="AN13" s="63"/>
      <c r="AO13" s="63"/>
      <c r="AP13" s="63"/>
    </row>
    <row r="14" spans="1:42" x14ac:dyDescent="0.3">
      <c r="A14" s="70">
        <v>44197</v>
      </c>
      <c r="B14" s="6" t="s">
        <v>5</v>
      </c>
      <c r="C14" s="7">
        <v>20</v>
      </c>
      <c r="D14" s="8">
        <v>1.0416666666666666E-2</v>
      </c>
      <c r="E14" s="19">
        <f t="shared" si="3"/>
        <v>1.3333333333333333</v>
      </c>
      <c r="F14" s="10">
        <f t="shared" si="4"/>
        <v>80</v>
      </c>
      <c r="G14" s="15" t="s">
        <v>8</v>
      </c>
      <c r="H14" s="66"/>
      <c r="J14" s="68"/>
      <c r="AE14" s="16">
        <f t="shared" si="6"/>
        <v>44204</v>
      </c>
      <c r="AF14" s="17">
        <f t="shared" si="5"/>
        <v>0</v>
      </c>
      <c r="AG14" s="62"/>
      <c r="AH14" s="63"/>
      <c r="AI14" s="63"/>
      <c r="AJ14" s="63"/>
      <c r="AK14" s="63"/>
      <c r="AL14" s="63"/>
      <c r="AM14" s="63"/>
      <c r="AN14" s="63"/>
      <c r="AO14" s="63"/>
      <c r="AP14" s="63"/>
    </row>
    <row r="15" spans="1:42" x14ac:dyDescent="0.3">
      <c r="A15" s="70">
        <v>44198</v>
      </c>
      <c r="B15" s="6" t="s">
        <v>7</v>
      </c>
      <c r="C15" s="7">
        <v>30</v>
      </c>
      <c r="D15" s="8">
        <v>1.7361111111111112E-2</v>
      </c>
      <c r="E15" s="19">
        <f t="shared" si="3"/>
        <v>1.2</v>
      </c>
      <c r="F15" s="10">
        <f t="shared" si="4"/>
        <v>72</v>
      </c>
      <c r="G15" s="15" t="s">
        <v>10</v>
      </c>
      <c r="H15" s="66"/>
      <c r="J15" s="68"/>
      <c r="AE15" s="16">
        <f t="shared" si="6"/>
        <v>44205</v>
      </c>
      <c r="AF15" s="17">
        <f t="shared" si="5"/>
        <v>0</v>
      </c>
      <c r="AG15" s="62"/>
      <c r="AH15" s="63"/>
      <c r="AI15" s="63"/>
      <c r="AJ15" s="63"/>
      <c r="AK15" s="63"/>
      <c r="AL15" s="63"/>
      <c r="AM15" s="63"/>
      <c r="AN15" s="63"/>
      <c r="AO15" s="63"/>
      <c r="AP15" s="63"/>
    </row>
    <row r="16" spans="1:42" x14ac:dyDescent="0.3">
      <c r="A16" s="70">
        <v>44198</v>
      </c>
      <c r="B16" s="6" t="s">
        <v>3</v>
      </c>
      <c r="C16" s="7">
        <v>10</v>
      </c>
      <c r="D16" s="8">
        <v>4.1666666666666664E-2</v>
      </c>
      <c r="E16" s="19">
        <f t="shared" si="3"/>
        <v>0.16666666666666666</v>
      </c>
      <c r="F16" s="10">
        <f t="shared" si="4"/>
        <v>10</v>
      </c>
      <c r="G16" s="15" t="s">
        <v>11</v>
      </c>
      <c r="H16" s="66"/>
      <c r="J16" s="68"/>
      <c r="AE16" s="16">
        <f t="shared" si="6"/>
        <v>44206</v>
      </c>
      <c r="AF16" s="17">
        <f t="shared" si="5"/>
        <v>0</v>
      </c>
      <c r="AG16" s="62"/>
      <c r="AH16" s="63"/>
      <c r="AI16" s="63"/>
      <c r="AJ16" s="63"/>
      <c r="AK16" s="63"/>
      <c r="AL16" s="63"/>
      <c r="AM16" s="63"/>
      <c r="AN16" s="63"/>
      <c r="AO16" s="63"/>
      <c r="AP16" s="63"/>
    </row>
    <row r="17" spans="1:42" x14ac:dyDescent="0.3">
      <c r="A17" s="70">
        <v>44198</v>
      </c>
      <c r="B17" s="6" t="s">
        <v>5</v>
      </c>
      <c r="C17" s="7">
        <v>20</v>
      </c>
      <c r="D17" s="8">
        <v>3.7499999999999999E-2</v>
      </c>
      <c r="E17" s="19">
        <f t="shared" si="3"/>
        <v>0.37037037037037041</v>
      </c>
      <c r="F17" s="10">
        <f t="shared" si="4"/>
        <v>22.222222222222225</v>
      </c>
      <c r="G17" s="15" t="s">
        <v>13</v>
      </c>
      <c r="H17" s="66"/>
      <c r="J17" s="68"/>
      <c r="AE17" s="16">
        <f t="shared" si="6"/>
        <v>44207</v>
      </c>
      <c r="AF17" s="17">
        <f t="shared" si="5"/>
        <v>0</v>
      </c>
      <c r="AG17" s="62"/>
      <c r="AH17" s="63"/>
      <c r="AI17" s="63"/>
      <c r="AJ17" s="63"/>
      <c r="AK17" s="63"/>
      <c r="AL17" s="63"/>
      <c r="AM17" s="63"/>
      <c r="AN17" s="63"/>
      <c r="AO17" s="63"/>
      <c r="AP17" s="63"/>
    </row>
    <row r="18" spans="1:42" x14ac:dyDescent="0.3">
      <c r="A18" s="70">
        <v>44298</v>
      </c>
      <c r="B18" s="6" t="s">
        <v>3</v>
      </c>
      <c r="C18" s="7">
        <v>30</v>
      </c>
      <c r="D18" s="8">
        <v>1.7361111111111112E-2</v>
      </c>
      <c r="E18" s="19">
        <f t="shared" si="3"/>
        <v>1.2</v>
      </c>
      <c r="F18" s="10">
        <f t="shared" si="4"/>
        <v>72</v>
      </c>
      <c r="G18" s="15" t="s">
        <v>12</v>
      </c>
      <c r="H18" s="66"/>
      <c r="J18" s="68"/>
      <c r="AE18" s="16">
        <f t="shared" si="6"/>
        <v>44208</v>
      </c>
      <c r="AF18" s="17">
        <f t="shared" si="5"/>
        <v>0</v>
      </c>
      <c r="AG18" s="62"/>
      <c r="AH18" s="63"/>
      <c r="AI18" s="63"/>
      <c r="AJ18" s="63"/>
      <c r="AK18" s="63"/>
      <c r="AL18" s="63"/>
      <c r="AM18" s="63"/>
      <c r="AN18" s="63"/>
      <c r="AO18" s="63"/>
      <c r="AP18" s="63"/>
    </row>
    <row r="19" spans="1:42" x14ac:dyDescent="0.3">
      <c r="A19" s="70">
        <v>44321</v>
      </c>
      <c r="B19" s="6" t="s">
        <v>3</v>
      </c>
      <c r="C19" s="7">
        <v>10</v>
      </c>
      <c r="D19" s="8">
        <v>9.0277777777777787E-3</v>
      </c>
      <c r="E19" s="19">
        <f t="shared" si="3"/>
        <v>0.76923076923076916</v>
      </c>
      <c r="F19" s="10">
        <f t="shared" si="4"/>
        <v>46.153846153846153</v>
      </c>
      <c r="G19" s="15" t="s">
        <v>9</v>
      </c>
      <c r="H19" s="66"/>
      <c r="J19" s="68"/>
      <c r="AE19" s="16">
        <f t="shared" si="6"/>
        <v>44209</v>
      </c>
      <c r="AF19" s="17">
        <f t="shared" si="5"/>
        <v>0</v>
      </c>
    </row>
    <row r="20" spans="1:42" x14ac:dyDescent="0.3">
      <c r="A20" s="70">
        <v>44322</v>
      </c>
      <c r="B20" s="6" t="s">
        <v>42</v>
      </c>
      <c r="C20" s="7">
        <v>20</v>
      </c>
      <c r="D20" s="8">
        <v>9.7222222222222224E-3</v>
      </c>
      <c r="E20" s="19">
        <f t="shared" si="3"/>
        <v>1.4285714285714284</v>
      </c>
      <c r="F20" s="10">
        <f t="shared" si="4"/>
        <v>85.714285714285708</v>
      </c>
      <c r="G20" s="15" t="s">
        <v>8</v>
      </c>
      <c r="H20" s="66"/>
      <c r="J20" s="68"/>
      <c r="AE20" s="16">
        <f t="shared" si="6"/>
        <v>44210</v>
      </c>
      <c r="AF20" s="17">
        <f t="shared" si="5"/>
        <v>0</v>
      </c>
    </row>
    <row r="21" spans="1:42" x14ac:dyDescent="0.3">
      <c r="A21" s="70">
        <v>44323</v>
      </c>
      <c r="B21" s="6" t="s">
        <v>41</v>
      </c>
      <c r="C21" s="7">
        <v>30</v>
      </c>
      <c r="D21" s="8">
        <v>1.3888888888888889E-3</v>
      </c>
      <c r="E21" s="19">
        <f t="shared" si="3"/>
        <v>15</v>
      </c>
      <c r="F21" s="10">
        <f t="shared" si="4"/>
        <v>900</v>
      </c>
      <c r="G21" s="15" t="s">
        <v>10</v>
      </c>
      <c r="H21" s="66"/>
      <c r="J21" s="68"/>
      <c r="AE21" s="16">
        <f t="shared" si="6"/>
        <v>44211</v>
      </c>
      <c r="AF21" s="17">
        <f t="shared" si="5"/>
        <v>0</v>
      </c>
    </row>
    <row r="22" spans="1:42" x14ac:dyDescent="0.3">
      <c r="A22" s="70">
        <v>44324</v>
      </c>
      <c r="B22" s="6" t="s">
        <v>3</v>
      </c>
      <c r="C22" s="7">
        <v>10</v>
      </c>
      <c r="D22" s="8">
        <v>1.1805555555555555E-2</v>
      </c>
      <c r="E22" s="19">
        <f t="shared" si="3"/>
        <v>0.58823529411764708</v>
      </c>
      <c r="F22" s="10">
        <f t="shared" si="4"/>
        <v>35.294117647058826</v>
      </c>
      <c r="G22" s="15" t="s">
        <v>11</v>
      </c>
      <c r="H22" s="66"/>
      <c r="J22" s="68"/>
      <c r="AE22" s="16">
        <f t="shared" si="6"/>
        <v>44212</v>
      </c>
      <c r="AF22" s="17">
        <f t="shared" si="5"/>
        <v>0</v>
      </c>
    </row>
    <row r="23" spans="1:42" x14ac:dyDescent="0.3">
      <c r="A23" s="70">
        <v>44325</v>
      </c>
      <c r="B23" s="6" t="s">
        <v>38</v>
      </c>
      <c r="C23" s="7">
        <v>20</v>
      </c>
      <c r="D23" s="8">
        <v>2.4305555555555556E-2</v>
      </c>
      <c r="E23" s="19">
        <f t="shared" si="3"/>
        <v>0.5714285714285714</v>
      </c>
      <c r="F23" s="10">
        <f t="shared" si="4"/>
        <v>34.285714285714285</v>
      </c>
      <c r="G23" s="15" t="s">
        <v>13</v>
      </c>
      <c r="H23" s="66"/>
      <c r="J23" s="68"/>
      <c r="AE23" s="16">
        <f t="shared" si="6"/>
        <v>44213</v>
      </c>
      <c r="AF23" s="17">
        <f t="shared" si="5"/>
        <v>0</v>
      </c>
    </row>
    <row r="24" spans="1:42" x14ac:dyDescent="0.3">
      <c r="A24" s="70">
        <v>44326</v>
      </c>
      <c r="B24" s="6" t="s">
        <v>7</v>
      </c>
      <c r="C24" s="7">
        <v>30</v>
      </c>
      <c r="D24" s="8">
        <v>6.9444444444444447E-4</v>
      </c>
      <c r="E24" s="19">
        <f t="shared" si="3"/>
        <v>30</v>
      </c>
      <c r="F24" s="10">
        <f t="shared" si="4"/>
        <v>1800</v>
      </c>
      <c r="G24" s="15" t="s">
        <v>12</v>
      </c>
      <c r="H24" s="66"/>
      <c r="J24" s="68"/>
      <c r="AE24" s="16">
        <f t="shared" si="6"/>
        <v>44214</v>
      </c>
      <c r="AF24" s="17">
        <f t="shared" si="5"/>
        <v>0</v>
      </c>
    </row>
    <row r="25" spans="1:42" x14ac:dyDescent="0.3">
      <c r="A25" s="70">
        <v>44327</v>
      </c>
      <c r="B25" s="6" t="s">
        <v>3</v>
      </c>
      <c r="C25" s="7">
        <v>10</v>
      </c>
      <c r="D25" s="8">
        <v>6.2499999999999995E-3</v>
      </c>
      <c r="E25" s="19">
        <f t="shared" si="3"/>
        <v>1.1111111111111112</v>
      </c>
      <c r="F25" s="10">
        <f t="shared" si="4"/>
        <v>66.666666666666671</v>
      </c>
      <c r="G25" s="15" t="s">
        <v>9</v>
      </c>
      <c r="H25" s="66"/>
      <c r="J25" s="68"/>
      <c r="AE25" s="16">
        <f t="shared" si="6"/>
        <v>44215</v>
      </c>
      <c r="AF25" s="17">
        <f t="shared" si="5"/>
        <v>0</v>
      </c>
    </row>
    <row r="26" spans="1:42" x14ac:dyDescent="0.3">
      <c r="A26" s="70">
        <v>44328</v>
      </c>
      <c r="B26" s="6" t="s">
        <v>5</v>
      </c>
      <c r="C26" s="7">
        <v>20</v>
      </c>
      <c r="D26" s="8">
        <v>4.027777777777778E-2</v>
      </c>
      <c r="E26" s="19">
        <f t="shared" si="3"/>
        <v>0.34482758620689652</v>
      </c>
      <c r="F26" s="10">
        <f t="shared" si="4"/>
        <v>20.68965517241379</v>
      </c>
      <c r="G26" s="15" t="s">
        <v>8</v>
      </c>
      <c r="H26" s="66"/>
      <c r="J26" s="68"/>
      <c r="AE26" s="16">
        <f t="shared" si="6"/>
        <v>44216</v>
      </c>
      <c r="AF26" s="17">
        <f t="shared" si="5"/>
        <v>0</v>
      </c>
    </row>
    <row r="27" spans="1:42" x14ac:dyDescent="0.3">
      <c r="A27" s="70">
        <v>44387</v>
      </c>
      <c r="B27" s="6" t="s">
        <v>7</v>
      </c>
      <c r="C27" s="7">
        <v>30</v>
      </c>
      <c r="D27" s="8">
        <v>3.1944444444444449E-2</v>
      </c>
      <c r="E27" s="19">
        <f t="shared" si="3"/>
        <v>0.65217391304347816</v>
      </c>
      <c r="F27" s="10">
        <f t="shared" si="4"/>
        <v>39.130434782608688</v>
      </c>
      <c r="G27" s="15" t="s">
        <v>10</v>
      </c>
      <c r="H27" s="66"/>
      <c r="J27" s="68"/>
      <c r="AE27" s="16">
        <f t="shared" si="6"/>
        <v>44217</v>
      </c>
      <c r="AF27" s="17">
        <f t="shared" si="5"/>
        <v>0</v>
      </c>
    </row>
    <row r="28" spans="1:42" x14ac:dyDescent="0.3">
      <c r="A28" s="70">
        <v>44416</v>
      </c>
      <c r="B28" s="6" t="s">
        <v>39</v>
      </c>
      <c r="C28" s="7">
        <v>10</v>
      </c>
      <c r="D28" s="8">
        <v>5.5555555555555558E-3</v>
      </c>
      <c r="E28" s="19">
        <f t="shared" si="3"/>
        <v>1.25</v>
      </c>
      <c r="F28" s="10">
        <f t="shared" si="4"/>
        <v>75</v>
      </c>
      <c r="G28" s="15" t="s">
        <v>11</v>
      </c>
      <c r="H28" s="66"/>
      <c r="J28" s="68"/>
      <c r="AE28" s="16">
        <f t="shared" si="6"/>
        <v>44218</v>
      </c>
      <c r="AF28" s="17">
        <f t="shared" si="5"/>
        <v>0</v>
      </c>
    </row>
    <row r="29" spans="1:42" x14ac:dyDescent="0.3">
      <c r="A29" s="70">
        <v>44417</v>
      </c>
      <c r="B29" s="6" t="s">
        <v>5</v>
      </c>
      <c r="C29" s="7">
        <v>20</v>
      </c>
      <c r="D29" s="8">
        <v>1.0416666666666666E-2</v>
      </c>
      <c r="E29" s="19">
        <f t="shared" si="3"/>
        <v>1.3333333333333333</v>
      </c>
      <c r="F29" s="10">
        <f t="shared" si="4"/>
        <v>80</v>
      </c>
      <c r="G29" s="15" t="s">
        <v>13</v>
      </c>
      <c r="H29" s="66"/>
      <c r="J29" s="68"/>
      <c r="AE29" s="16">
        <f t="shared" si="6"/>
        <v>44219</v>
      </c>
      <c r="AF29" s="17">
        <f t="shared" si="5"/>
        <v>0</v>
      </c>
    </row>
    <row r="30" spans="1:42" x14ac:dyDescent="0.3">
      <c r="A30" s="70">
        <v>44418</v>
      </c>
      <c r="B30" s="6" t="s">
        <v>7</v>
      </c>
      <c r="C30" s="7">
        <v>30</v>
      </c>
      <c r="D30" s="8">
        <v>1.8749999999999999E-2</v>
      </c>
      <c r="E30" s="19">
        <f t="shared" si="3"/>
        <v>1.1111111111111112</v>
      </c>
      <c r="F30" s="10">
        <f t="shared" si="4"/>
        <v>66.666666666666671</v>
      </c>
      <c r="G30" s="15" t="s">
        <v>12</v>
      </c>
      <c r="H30" s="66"/>
      <c r="J30" s="68"/>
      <c r="AE30" s="16">
        <f t="shared" si="6"/>
        <v>44220</v>
      </c>
      <c r="AF30" s="17">
        <f t="shared" si="5"/>
        <v>0</v>
      </c>
    </row>
    <row r="31" spans="1:42" x14ac:dyDescent="0.3">
      <c r="A31" s="70">
        <v>44450</v>
      </c>
      <c r="B31" s="6" t="s">
        <v>3</v>
      </c>
      <c r="C31" s="7">
        <v>10</v>
      </c>
      <c r="D31" s="8">
        <v>1.9444444444444445E-2</v>
      </c>
      <c r="E31" s="19">
        <f t="shared" si="3"/>
        <v>0.3571428571428571</v>
      </c>
      <c r="F31" s="10">
        <f t="shared" si="4"/>
        <v>21.428571428571427</v>
      </c>
      <c r="G31" s="15" t="s">
        <v>9</v>
      </c>
      <c r="H31" s="66"/>
      <c r="J31" s="68"/>
      <c r="AE31" s="16">
        <f t="shared" si="6"/>
        <v>44221</v>
      </c>
      <c r="AF31" s="17">
        <f t="shared" si="5"/>
        <v>0</v>
      </c>
    </row>
    <row r="32" spans="1:42" x14ac:dyDescent="0.3">
      <c r="A32" s="70">
        <v>44450</v>
      </c>
      <c r="B32" s="6" t="s">
        <v>40</v>
      </c>
      <c r="C32" s="7">
        <v>20</v>
      </c>
      <c r="D32" s="8">
        <v>1.8055555555555557E-2</v>
      </c>
      <c r="E32" s="19">
        <f t="shared" si="3"/>
        <v>0.76923076923076916</v>
      </c>
      <c r="F32" s="10">
        <f t="shared" si="4"/>
        <v>46.153846153846153</v>
      </c>
      <c r="G32" s="15" t="s">
        <v>8</v>
      </c>
      <c r="H32" s="66"/>
      <c r="J32" s="68"/>
      <c r="AE32" s="16">
        <f t="shared" si="6"/>
        <v>44222</v>
      </c>
      <c r="AF32" s="17">
        <f t="shared" si="5"/>
        <v>0</v>
      </c>
    </row>
    <row r="33" spans="1:32" x14ac:dyDescent="0.3">
      <c r="A33" s="70">
        <v>44451</v>
      </c>
      <c r="B33" s="6" t="s">
        <v>7</v>
      </c>
      <c r="C33" s="7">
        <v>30</v>
      </c>
      <c r="D33" s="8">
        <v>2.4305555555555556E-2</v>
      </c>
      <c r="E33" s="19">
        <f t="shared" si="3"/>
        <v>0.8571428571428571</v>
      </c>
      <c r="F33" s="10">
        <f t="shared" si="4"/>
        <v>51.428571428571423</v>
      </c>
      <c r="G33" s="15" t="s">
        <v>10</v>
      </c>
      <c r="H33" s="66"/>
      <c r="J33" s="68"/>
      <c r="AE33" s="16">
        <f t="shared" si="6"/>
        <v>44223</v>
      </c>
      <c r="AF33" s="17">
        <f t="shared" si="5"/>
        <v>0</v>
      </c>
    </row>
    <row r="34" spans="1:32" x14ac:dyDescent="0.3">
      <c r="A34" s="70">
        <v>44493</v>
      </c>
      <c r="B34" s="6" t="s">
        <v>3</v>
      </c>
      <c r="C34" s="7">
        <v>10</v>
      </c>
      <c r="D34" s="8">
        <v>3.7499999999999999E-2</v>
      </c>
      <c r="E34" s="19">
        <f t="shared" si="3"/>
        <v>0.1851851851851852</v>
      </c>
      <c r="F34" s="10">
        <f t="shared" si="4"/>
        <v>11.111111111111112</v>
      </c>
      <c r="G34" s="15" t="s">
        <v>11</v>
      </c>
      <c r="H34" s="66"/>
      <c r="J34" s="68"/>
      <c r="AE34" s="16">
        <f t="shared" si="6"/>
        <v>44224</v>
      </c>
      <c r="AF34" s="17">
        <f t="shared" si="5"/>
        <v>0</v>
      </c>
    </row>
    <row r="35" spans="1:32" x14ac:dyDescent="0.3">
      <c r="A35" s="70">
        <v>44494</v>
      </c>
      <c r="B35" s="6" t="s">
        <v>5</v>
      </c>
      <c r="C35" s="7">
        <v>20</v>
      </c>
      <c r="D35" s="8">
        <v>1.0416666666666666E-2</v>
      </c>
      <c r="E35" s="19">
        <f t="shared" si="3"/>
        <v>1.3333333333333333</v>
      </c>
      <c r="F35" s="10">
        <f t="shared" si="4"/>
        <v>80</v>
      </c>
      <c r="G35" s="15" t="s">
        <v>13</v>
      </c>
      <c r="H35" s="66"/>
      <c r="J35" s="68"/>
      <c r="AE35" s="16">
        <f t="shared" si="6"/>
        <v>44225</v>
      </c>
      <c r="AF35" s="17">
        <f t="shared" si="5"/>
        <v>0</v>
      </c>
    </row>
    <row r="36" spans="1:32" x14ac:dyDescent="0.3">
      <c r="A36" s="70">
        <v>44495</v>
      </c>
      <c r="B36" s="6" t="s">
        <v>7</v>
      </c>
      <c r="C36" s="7">
        <v>30</v>
      </c>
      <c r="D36" s="8">
        <v>1.3194444444444444E-2</v>
      </c>
      <c r="E36" s="19">
        <f t="shared" si="3"/>
        <v>1.5789473684210527</v>
      </c>
      <c r="F36" s="10">
        <f t="shared" si="4"/>
        <v>94.736842105263165</v>
      </c>
      <c r="G36" s="15" t="s">
        <v>12</v>
      </c>
      <c r="H36" s="66"/>
      <c r="J36" s="68"/>
      <c r="AE36" s="16">
        <f t="shared" si="6"/>
        <v>44226</v>
      </c>
      <c r="AF36" s="17">
        <f t="shared" si="5"/>
        <v>0</v>
      </c>
    </row>
    <row r="37" spans="1:32" x14ac:dyDescent="0.3">
      <c r="A37" s="70">
        <v>44508</v>
      </c>
      <c r="B37" s="6" t="s">
        <v>3</v>
      </c>
      <c r="C37" s="7">
        <v>10</v>
      </c>
      <c r="D37" s="8">
        <v>1.6666666666666666E-2</v>
      </c>
      <c r="E37" s="19">
        <f t="shared" si="3"/>
        <v>0.41666666666666669</v>
      </c>
      <c r="F37" s="10">
        <f t="shared" si="4"/>
        <v>25</v>
      </c>
      <c r="G37" s="15" t="s">
        <v>9</v>
      </c>
      <c r="H37" s="66"/>
      <c r="J37" s="68"/>
      <c r="AE37" s="16">
        <f t="shared" si="6"/>
        <v>44227</v>
      </c>
      <c r="AF37" s="17">
        <f t="shared" si="5"/>
        <v>0</v>
      </c>
    </row>
    <row r="38" spans="1:32" x14ac:dyDescent="0.3">
      <c r="A38" s="70">
        <v>44515</v>
      </c>
      <c r="B38" s="6" t="s">
        <v>5</v>
      </c>
      <c r="C38" s="7">
        <v>20</v>
      </c>
      <c r="D38" s="8">
        <v>2.361111111111111E-2</v>
      </c>
      <c r="E38" s="19">
        <f t="shared" si="3"/>
        <v>0.58823529411764708</v>
      </c>
      <c r="F38" s="10">
        <f t="shared" si="4"/>
        <v>35.294117647058826</v>
      </c>
      <c r="G38" s="15" t="s">
        <v>8</v>
      </c>
      <c r="H38" s="66"/>
      <c r="J38" s="68"/>
      <c r="AE38" s="16">
        <f t="shared" si="6"/>
        <v>44228</v>
      </c>
      <c r="AF38" s="17">
        <f t="shared" si="5"/>
        <v>0</v>
      </c>
    </row>
    <row r="39" spans="1:32" x14ac:dyDescent="0.3">
      <c r="A39" s="70">
        <v>44525</v>
      </c>
      <c r="B39" s="6" t="s">
        <v>7</v>
      </c>
      <c r="C39" s="7">
        <v>30</v>
      </c>
      <c r="D39" s="8">
        <v>3.2638888888888891E-2</v>
      </c>
      <c r="E39" s="19">
        <f t="shared" si="3"/>
        <v>0.63829787234042545</v>
      </c>
      <c r="F39" s="10">
        <f t="shared" si="4"/>
        <v>38.297872340425528</v>
      </c>
      <c r="G39" s="15" t="s">
        <v>10</v>
      </c>
      <c r="H39" s="66"/>
      <c r="J39" s="68"/>
      <c r="AE39" s="16">
        <f t="shared" si="6"/>
        <v>44229</v>
      </c>
      <c r="AF39" s="17">
        <f t="shared" si="5"/>
        <v>0</v>
      </c>
    </row>
    <row r="40" spans="1:32" x14ac:dyDescent="0.3">
      <c r="A40" s="70">
        <v>44560</v>
      </c>
      <c r="B40" s="6" t="s">
        <v>3</v>
      </c>
      <c r="C40" s="7">
        <v>10</v>
      </c>
      <c r="D40" s="8">
        <v>1.5972222222222224E-2</v>
      </c>
      <c r="E40" s="19">
        <f t="shared" si="3"/>
        <v>0.43478260869565211</v>
      </c>
      <c r="F40" s="10">
        <f t="shared" si="4"/>
        <v>26.086956521739125</v>
      </c>
      <c r="G40" s="15" t="s">
        <v>11</v>
      </c>
      <c r="H40" s="66"/>
      <c r="J40" s="68"/>
      <c r="AE40" s="16">
        <f t="shared" si="6"/>
        <v>44230</v>
      </c>
      <c r="AF40" s="17">
        <f t="shared" si="5"/>
        <v>0</v>
      </c>
    </row>
    <row r="41" spans="1:32" x14ac:dyDescent="0.3">
      <c r="A41" s="70">
        <v>44560</v>
      </c>
      <c r="B41" s="6" t="s">
        <v>5</v>
      </c>
      <c r="C41" s="7">
        <v>20</v>
      </c>
      <c r="D41" s="8">
        <v>3.472222222222222E-3</v>
      </c>
      <c r="E41" s="19">
        <f t="shared" si="3"/>
        <v>4</v>
      </c>
      <c r="F41" s="10">
        <f t="shared" si="4"/>
        <v>240</v>
      </c>
      <c r="G41" s="15" t="s">
        <v>13</v>
      </c>
      <c r="H41" s="66"/>
      <c r="J41" s="68"/>
      <c r="AE41" s="16">
        <f t="shared" si="6"/>
        <v>44231</v>
      </c>
      <c r="AF41" s="17">
        <f t="shared" si="5"/>
        <v>0</v>
      </c>
    </row>
    <row r="42" spans="1:32" x14ac:dyDescent="0.3">
      <c r="A42" s="71">
        <v>44561</v>
      </c>
      <c r="B42" s="72" t="s">
        <v>7</v>
      </c>
      <c r="C42" s="73">
        <v>30</v>
      </c>
      <c r="D42" s="74">
        <v>5.2083333333333333E-4</v>
      </c>
      <c r="E42" s="75">
        <f t="shared" si="3"/>
        <v>40</v>
      </c>
      <c r="F42" s="76">
        <f t="shared" si="4"/>
        <v>2400</v>
      </c>
      <c r="G42" s="77" t="s">
        <v>12</v>
      </c>
      <c r="H42" s="78"/>
      <c r="J42" s="68"/>
      <c r="AE42" s="16">
        <f t="shared" si="6"/>
        <v>44232</v>
      </c>
      <c r="AF42" s="17">
        <f t="shared" si="5"/>
        <v>0</v>
      </c>
    </row>
  </sheetData>
  <sheetProtection selectLockedCells="1"/>
  <mergeCells count="33">
    <mergeCell ref="AE1:AE6"/>
    <mergeCell ref="AF1:AF6"/>
    <mergeCell ref="I1:I2"/>
    <mergeCell ref="H1:H2"/>
    <mergeCell ref="E1:E2"/>
    <mergeCell ref="F1:G2"/>
    <mergeCell ref="I3:I4"/>
    <mergeCell ref="H3:H4"/>
    <mergeCell ref="G3:G4"/>
    <mergeCell ref="F3:F4"/>
    <mergeCell ref="E3:E4"/>
    <mergeCell ref="U4:U6"/>
    <mergeCell ref="U1:U3"/>
    <mergeCell ref="S5:T5"/>
    <mergeCell ref="S3:T3"/>
    <mergeCell ref="M5:N5"/>
    <mergeCell ref="M3:N3"/>
    <mergeCell ref="M1:N1"/>
    <mergeCell ref="A1:A2"/>
    <mergeCell ref="B1:B2"/>
    <mergeCell ref="A3:A4"/>
    <mergeCell ref="B3:B4"/>
    <mergeCell ref="D1:D2"/>
    <mergeCell ref="C1:C2"/>
    <mergeCell ref="D3:D4"/>
    <mergeCell ref="C3:C4"/>
    <mergeCell ref="S1:T1"/>
    <mergeCell ref="Q5:R5"/>
    <mergeCell ref="Q3:R3"/>
    <mergeCell ref="Q1:R1"/>
    <mergeCell ref="O5:P5"/>
    <mergeCell ref="O3:P3"/>
    <mergeCell ref="O1:P1"/>
  </mergeCells>
  <dataValidations count="2">
    <dataValidation type="list" allowBlank="1" showInputMessage="1" showErrorMessage="1" sqref="G3:G4 G7:G42">
      <formula1>"EUROPE,URGENCES,MONDE,IN,GE,BM"</formula1>
    </dataValidation>
    <dataValidation type="list" allowBlank="1" showInputMessage="1" showErrorMessage="1" sqref="A3:A4 B7:B42">
      <formula1>"AK,MF,SF,DG,EP,TS,PK,TD"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Modèle</vt:lpstr>
    </vt:vector>
  </TitlesOfParts>
  <Company>Bundesverwaltung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U80832269</dc:creator>
  <cp:lastModifiedBy>Michel</cp:lastModifiedBy>
  <dcterms:created xsi:type="dcterms:W3CDTF">2015-10-01T13:33:07Z</dcterms:created>
  <dcterms:modified xsi:type="dcterms:W3CDTF">2020-08-14T10:41:11Z</dcterms:modified>
</cp:coreProperties>
</file>