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Source" sheetId="1" r:id="rId1"/>
    <sheet name="Destination" sheetId="3" r:id="rId2"/>
    <sheet name="Liste_OF" sheetId="4" r:id="rId3"/>
  </sheets>
  <definedNames>
    <definedName name="DateActuelle">Source!$M$4</definedName>
    <definedName name="liste_projets">Tableau2[Projet]</definedName>
    <definedName name="tableau_OI">Tableau2[]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0" i="3" l="1"/>
  <c r="E10" i="3" l="1"/>
  <c r="F10" i="3"/>
  <c r="L6" i="1" l="1"/>
  <c r="L7" i="1"/>
  <c r="L8" i="1"/>
  <c r="L9" i="1"/>
  <c r="L10" i="1"/>
  <c r="L11" i="1"/>
  <c r="L12" i="1"/>
  <c r="N13" i="1" l="1"/>
  <c r="AA13" i="1" l="1"/>
  <c r="Z13" i="1"/>
  <c r="Y13" i="1"/>
  <c r="X13" i="1"/>
  <c r="W13" i="1"/>
  <c r="V13" i="1"/>
  <c r="U13" i="1"/>
  <c r="T13" i="1"/>
  <c r="S13" i="1"/>
  <c r="R13" i="1"/>
  <c r="Q13" i="1"/>
  <c r="P13" i="1"/>
  <c r="O13" i="1"/>
  <c r="M13" i="1"/>
  <c r="AB12" i="1"/>
  <c r="K12" i="1"/>
  <c r="J12" i="1"/>
  <c r="G12" i="1"/>
  <c r="E12" i="1"/>
  <c r="AB11" i="1"/>
  <c r="K11" i="1"/>
  <c r="J11" i="1"/>
  <c r="G11" i="1"/>
  <c r="E11" i="1"/>
  <c r="AB10" i="1"/>
  <c r="K10" i="1"/>
  <c r="J10" i="1"/>
  <c r="G10" i="1"/>
  <c r="E10" i="1"/>
  <c r="AB9" i="1"/>
  <c r="K9" i="1"/>
  <c r="J9" i="1"/>
  <c r="G9" i="1"/>
  <c r="E9" i="1"/>
  <c r="AB8" i="1"/>
  <c r="K8" i="1"/>
  <c r="J8" i="1"/>
  <c r="G8" i="1"/>
  <c r="E8" i="1"/>
  <c r="AB7" i="1"/>
  <c r="K7" i="1"/>
  <c r="J7" i="1"/>
  <c r="G7" i="1"/>
  <c r="E7" i="1"/>
  <c r="AB6" i="1"/>
  <c r="K6" i="1"/>
  <c r="J6" i="1"/>
  <c r="G6" i="1"/>
  <c r="E6" i="1"/>
  <c r="J13" i="1" l="1"/>
  <c r="K13" i="1"/>
  <c r="AB13" i="1"/>
</calcChain>
</file>

<file path=xl/sharedStrings.xml><?xml version="1.0" encoding="utf-8"?>
<sst xmlns="http://schemas.openxmlformats.org/spreadsheetml/2006/main" count="75" uniqueCount="46">
  <si>
    <t>Projet</t>
  </si>
  <si>
    <t>Tâche</t>
  </si>
  <si>
    <t>Implantation du nouveau programmeur</t>
  </si>
  <si>
    <t>Implantation de la nouvelle étiquette (datamatrix)</t>
  </si>
  <si>
    <t>Test électrovanne</t>
  </si>
  <si>
    <t>Liste de tâches</t>
  </si>
  <si>
    <t>Date de fin planifiée</t>
  </si>
  <si>
    <t>Date de fin effective</t>
  </si>
  <si>
    <t>Objectif à réaliser cette semaine?</t>
  </si>
  <si>
    <t>Durée</t>
  </si>
  <si>
    <t>Total</t>
  </si>
  <si>
    <t>Retard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</si>
  <si>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</si>
  <si>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</si>
  <si>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</si>
  <si>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</si>
  <si>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</si>
  <si>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</si>
  <si>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</si>
  <si>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</si>
  <si>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</si>
  <si>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</si>
  <si>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</si>
  <si>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</si>
  <si>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</si>
  <si>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</si>
  <si>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</si>
  <si>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Client</t>
  </si>
  <si>
    <t>OI</t>
  </si>
  <si>
    <t>Date
d'entrée</t>
  </si>
  <si>
    <t>Organisation personnelle</t>
  </si>
  <si>
    <t>Projet 1</t>
  </si>
  <si>
    <t>Projet 2</t>
  </si>
  <si>
    <t>Projet 3</t>
  </si>
  <si>
    <t>Tâche 1</t>
  </si>
  <si>
    <t>Tâche 2</t>
  </si>
  <si>
    <t>Tâche 3</t>
  </si>
  <si>
    <t>Imprévu 1</t>
  </si>
  <si>
    <t>Imprévu 2</t>
  </si>
  <si>
    <t>SCRUM XY</t>
  </si>
  <si>
    <t>Equipement PCB</t>
  </si>
  <si>
    <t>Chiffrage nouveau projet</t>
  </si>
  <si>
    <t>Destination</t>
  </si>
  <si>
    <t>06.08.2020</t>
  </si>
  <si>
    <t>07.08.2020</t>
  </si>
  <si>
    <t>11.08.2020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</si>
</sst>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Wingdings"/>
      <charset val="2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5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/>
      <top style="thin">
        <color theme="4" tint="0.39997558519241921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55">
    <xf numFmtId="0" fontId="0" fillId="0" borderId="0" xfId="0"/>
    <xf numFmtId="0" fontId="1" fillId="0" borderId="0" xfId="0" applyFont="1"/>
    <xf numFmtId="14" fontId="0" fillId="0" borderId="0" xfId="0" applyNumberFormat="1"/>
    <xf numFmtId="0" fontId="0" fillId="0" borderId="0" xfId="0" applyAlignment="1">
      <alignment vertical="center" wrapText="1"/>
    </xf>
    <xf numFmtId="0" fontId="0" fillId="0" borderId="0" xfId="0" applyNumberFormat="1"/>
    <xf numFmtId="14" fontId="1" fillId="0" borderId="0" xfId="0" applyNumberFormat="1" applyFont="1"/>
    <xf numFmtId="14" fontId="0" fillId="0" borderId="0" xfId="0" applyNumberFormat="1" applyAlignment="1">
      <alignment vertical="center" wrapText="1"/>
    </xf>
    <xf numFmtId="2" fontId="0" fillId="0" borderId="0" xfId="0" applyNumberFormat="1"/>
    <xf numFmtId="164" fontId="0" fillId="0" borderId="0" xfId="0" applyNumberFormat="1"/>
    <xf numFmtId="0" fontId="0" fillId="0" borderId="1" xfId="0" applyNumberFormat="1" applyBorder="1"/>
    <xf numFmtId="0" fontId="0" fillId="3" borderId="0" xfId="0" applyFill="1" applyAlignment="1">
      <alignment vertical="center" wrapText="1"/>
    </xf>
    <xf numFmtId="0" fontId="0" fillId="0" borderId="2" xfId="0" applyBorder="1" applyAlignment="1">
      <alignment vertical="center" wrapText="1"/>
    </xf>
    <xf numFmtId="0" fontId="0" fillId="4" borderId="0" xfId="0" applyFill="1" applyAlignment="1">
      <alignment vertical="center" wrapText="1"/>
    </xf>
    <xf numFmtId="0" fontId="0" fillId="4" borderId="0" xfId="0" applyFill="1"/>
    <xf numFmtId="0" fontId="0" fillId="4" borderId="0" xfId="0" applyNumberFormat="1" applyFill="1" applyAlignment="1">
      <alignment vertical="center" wrapText="1"/>
    </xf>
    <xf numFmtId="14" fontId="0" fillId="4" borderId="0" xfId="0" applyNumberFormat="1" applyFill="1" applyAlignment="1">
      <alignment vertical="center" wrapText="1"/>
    </xf>
    <xf numFmtId="0" fontId="0" fillId="4" borderId="2" xfId="0" applyNumberFormat="1" applyFill="1" applyBorder="1" applyAlignment="1">
      <alignment vertical="center" wrapText="1"/>
    </xf>
    <xf numFmtId="0" fontId="0" fillId="4" borderId="0" xfId="0" applyNumberFormat="1" applyFill="1"/>
    <xf numFmtId="164" fontId="0" fillId="4" borderId="0" xfId="0" applyNumberFormat="1" applyFill="1"/>
    <xf numFmtId="0" fontId="0" fillId="5" borderId="0" xfId="0" applyFill="1" applyAlignment="1">
      <alignment vertical="center" wrapText="1"/>
    </xf>
    <xf numFmtId="0" fontId="0" fillId="5" borderId="0" xfId="0" applyFill="1"/>
    <xf numFmtId="0" fontId="0" fillId="5" borderId="0" xfId="0" applyNumberFormat="1" applyFill="1" applyAlignment="1">
      <alignment vertical="center" wrapText="1"/>
    </xf>
    <xf numFmtId="14" fontId="0" fillId="5" borderId="0" xfId="0" applyNumberFormat="1" applyFill="1" applyAlignment="1">
      <alignment vertical="center" wrapText="1"/>
    </xf>
    <xf numFmtId="0" fontId="0" fillId="5" borderId="0" xfId="0" applyNumberFormat="1" applyFill="1" applyBorder="1" applyAlignment="1">
      <alignment vertical="center" wrapText="1"/>
    </xf>
    <xf numFmtId="0" fontId="0" fillId="5" borderId="1" xfId="0" applyNumberFormat="1" applyFill="1" applyBorder="1"/>
    <xf numFmtId="0" fontId="0" fillId="5" borderId="0" xfId="0" applyNumberFormat="1" applyFill="1"/>
    <xf numFmtId="164" fontId="0" fillId="5" borderId="0" xfId="0" applyNumberFormat="1" applyFill="1"/>
    <xf numFmtId="2" fontId="0" fillId="0" borderId="2" xfId="0" applyNumberFormat="1" applyBorder="1"/>
    <xf numFmtId="0" fontId="0" fillId="0" borderId="0" xfId="0" applyBorder="1"/>
    <xf numFmtId="0" fontId="0" fillId="0" borderId="0" xfId="0" applyBorder="1" applyAlignment="1">
      <alignment vertical="center"/>
    </xf>
    <xf numFmtId="0" fontId="4" fillId="6" borderId="3" xfId="0" applyFont="1" applyFill="1" applyBorder="1" applyAlignment="1">
      <alignment vertical="center" wrapText="1"/>
    </xf>
    <xf numFmtId="0" fontId="0" fillId="4" borderId="3" xfId="0" applyFont="1" applyFill="1" applyBorder="1" applyAlignment="1">
      <alignment vertical="center" wrapText="1"/>
    </xf>
    <xf numFmtId="0" fontId="0" fillId="5" borderId="3" xfId="0" applyFont="1" applyFill="1" applyBorder="1" applyAlignment="1">
      <alignment vertical="center" wrapText="1"/>
    </xf>
    <xf numFmtId="0" fontId="0" fillId="5" borderId="3" xfId="0" applyNumberFormat="1" applyFont="1" applyFill="1" applyBorder="1" applyAlignment="1">
      <alignment vertical="center" wrapText="1"/>
    </xf>
    <xf numFmtId="0" fontId="0" fillId="4" borderId="3" xfId="0" applyFont="1" applyFill="1" applyBorder="1"/>
    <xf numFmtId="0" fontId="0" fillId="5" borderId="3" xfId="0" applyFont="1" applyFill="1" applyBorder="1"/>
    <xf numFmtId="0" fontId="0" fillId="0" borderId="3" xfId="0" applyFont="1" applyBorder="1"/>
    <xf numFmtId="0" fontId="0" fillId="7" borderId="3" xfId="0" applyFont="1" applyFill="1" applyBorder="1"/>
    <xf numFmtId="0" fontId="0" fillId="4" borderId="3" xfId="0" applyNumberFormat="1" applyFont="1" applyFill="1" applyBorder="1" applyAlignment="1">
      <alignment vertical="center" wrapText="1"/>
    </xf>
    <xf numFmtId="14" fontId="4" fillId="2" borderId="0" xfId="0" applyNumberFormat="1" applyFont="1" applyFill="1" applyAlignment="1"/>
    <xf numFmtId="164" fontId="0" fillId="4" borderId="3" xfId="0" applyNumberFormat="1" applyFont="1" applyFill="1" applyBorder="1" applyAlignment="1">
      <alignment vertical="center" wrapText="1"/>
    </xf>
    <xf numFmtId="164" fontId="0" fillId="5" borderId="3" xfId="0" applyNumberFormat="1" applyFont="1" applyFill="1" applyBorder="1" applyAlignment="1">
      <alignment vertical="center" wrapText="1"/>
    </xf>
    <xf numFmtId="164" fontId="0" fillId="7" borderId="3" xfId="0" applyNumberFormat="1" applyFont="1" applyFill="1" applyBorder="1"/>
    <xf numFmtId="164" fontId="0" fillId="0" borderId="3" xfId="0" applyNumberFormat="1" applyFont="1" applyBorder="1"/>
    <xf numFmtId="0" fontId="5" fillId="0" borderId="0" xfId="0" applyFont="1" applyBorder="1"/>
    <xf numFmtId="164" fontId="5" fillId="0" borderId="0" xfId="0" applyNumberFormat="1" applyFont="1" applyBorder="1"/>
    <xf numFmtId="0" fontId="0" fillId="0" borderId="0" xfId="0" applyBorder="1" applyAlignment="1">
      <alignment vertical="center" wrapText="1"/>
    </xf>
    <xf numFmtId="0" fontId="0" fillId="4" borderId="0" xfId="0" applyNumberFormat="1" applyFill="1" applyBorder="1" applyAlignment="1">
      <alignment vertical="center" wrapText="1"/>
    </xf>
    <xf numFmtId="164" fontId="0" fillId="7" borderId="3" xfId="0" applyNumberFormat="1" applyFont="1" applyFill="1" applyBorder="1" applyAlignment="1">
      <alignment vertical="center" wrapText="1"/>
    </xf>
    <xf numFmtId="164" fontId="0" fillId="7" borderId="4" xfId="0" applyNumberFormat="1" applyFont="1" applyFill="1" applyBorder="1" applyAlignment="1">
      <alignment vertical="center" wrapText="1"/>
    </xf>
    <xf numFmtId="164" fontId="0" fillId="7" borderId="5" xfId="0" applyNumberFormat="1" applyFont="1" applyFill="1" applyBorder="1"/>
    <xf numFmtId="14" fontId="4" fillId="6" borderId="0" xfId="0" applyNumberFormat="1" applyFont="1" applyFill="1" applyAlignment="1">
      <alignment vertical="center" wrapText="1"/>
    </xf>
    <xf numFmtId="0" fontId="2" fillId="0" borderId="0" xfId="0" applyFont="1" applyAlignment="1">
      <alignment horizontal="left"/>
    </xf>
    <xf numFmtId="0" fontId="3" fillId="0" borderId="0" xfId="1" applyAlignment="1">
      <alignment horizontal="left"/>
    </xf>
    <xf numFmtId="14" fontId="4" fillId="2" borderId="0" xfId="0" applyNumberFormat="1" applyFont="1" applyFill="1" applyAlignment="1">
      <alignment horizontal="center"/>
    </xf>
  </cellXfs>
  <cellStyles count="2">
    <cellStyle name="Lien hypertexte" xfId="1" builtinId="8"/>
    <cellStyle name="Normal" xfId="0" builtinId="0"/>
  </cellStyles>
  <dxfs count="43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numFmt numFmtId="164" formatCode="[$-F400]h:mm:ss\ AM/PM"/>
    </dxf>
    <dxf>
      <numFmt numFmtId="2" formatCode="0.00"/>
      <border diagonalUp="0" diagonalDown="0" outline="0">
        <left/>
        <right style="double">
          <color auto="1"/>
        </right>
        <top/>
        <bottom/>
      </border>
    </dxf>
    <dxf>
      <numFmt numFmtId="2" formatCode="0.00"/>
      <border diagonalUp="0" diagonalDown="0" outline="0">
        <left/>
        <right style="double">
          <color auto="1"/>
        </right>
        <top/>
        <bottom/>
      </border>
    </dxf>
    <dxf>
      <numFmt numFmtId="2" formatCode="0.00"/>
    </dxf>
    <dxf>
      <numFmt numFmtId="164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400]h:mm:ss\ AM/P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4" formatCode="[$-F400]h:mm:ss\ AM/PM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4" formatCode="[$-F400]h:mm:ss\ AM/PM"/>
      <fill>
        <patternFill patternType="solid">
          <fgColor theme="4" tint="0.79998168889431442"/>
          <bgColor theme="4" tint="0.79998168889431442"/>
        </patternFill>
      </fill>
      <border diagonalUp="0" diagonalDown="0">
        <left/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numFmt numFmtId="164" formatCode="[$-F400]h:mm:ss\ AM/PM"/>
    </dxf>
    <dxf>
      <border outline="0">
        <left style="thin">
          <color theme="4" tint="0.39997558519241921"/>
        </left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general" vertical="center" textRotation="0" wrapText="1" indent="0" justifyLastLine="0" shrinkToFit="0" readingOrder="0"/>
    </dxf>
    <dxf>
      <numFmt numFmtId="164" formatCode="[$-F400]h:mm:ss\ AM/PM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  <border diagonalUp="0" diagonalDown="0">
        <left style="double">
          <color auto="1"/>
        </left>
        <right/>
        <top/>
        <bottom/>
        <vertical/>
        <horizontal/>
      </border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9" formatCode="dd/mm/yyyy"/>
    </dxf>
    <dxf>
      <numFmt numFmtId="0" formatCode="General"/>
    </dxf>
    <dxf>
      <alignment horizontal="general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FFC7CE"/>
      <color rgb="FF9C000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Liste_de_taches" displayName="Liste_de_taches" ref="B5:AB13" totalsRowCount="1" headerRowDxfId="42">
  <autoFilter ref="B5:AB12"/>
  <sortState ref="B6:L62">
    <sortCondition descending="1" ref="G4:G62"/>
  </sortState>
  <tableColumns count="27">
    <tableColumn id="1" name="Tâche" totalsRowLabel="Total"/>
    <tableColumn id="5" name="Projet"/>
    <tableColumn id="26" name="Client"/>
    <tableColumn id="25" name="OI" dataDxfId="41">
      <calculatedColumnFormula>VLOOKUP(Liste_de_taches[[#This Row],[Projet]],tableau_OI,2,FALSE)</calculatedColumnFormula>
    </tableColumn>
    <tableColumn id="3" name="Date_x000a_d'entrée" dataDxfId="40"/>
    <tableColumn id="4" name="Objectif à réaliser cette semaine?" dataDxfId="39">
      <calculatedColumnFormula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calculatedColumnFormula>
    </tableColumn>
    <tableColumn id="2" name="Date de fin planifiée"/>
    <tableColumn id="6" name="Date de fin effective"/>
    <tableColumn id="7" name="Durée" totalsRowFunction="average" dataDxfId="38" totalsRowDxfId="12">
      <calculatedColumnFormula>IF(AND(Liste_de_taches[[#This Row],[Date
d''entrée]]&lt;&gt;"",Liste_de_taches[[#This Row],[Date de fin effective]]&lt;&gt;""),Liste_de_taches[[#This Row],[Date de fin effective]]-Liste_de_taches[[#This Row],[Date
d''entrée]],"")</calculatedColumnFormula>
    </tableColumn>
    <tableColumn id="8" name="Retard" totalsRowFunction="average" dataDxfId="37" totalsRowDxfId="11">
      <calculatedColumnFormula>IF(AND(Liste_de_taches[[#This Row],[Date de fin planifiée]]&lt;&gt;"",Liste_de_taches[[#This Row],[Date de fin effective]]&lt;&gt;""),Liste_de_taches[[#This Row],[Date de fin planifiée]]-Liste_de_taches[[#This Row],[Date de fin effective]],"")</calculatedColumnFormula>
    </tableColumn>
    <tableColumn id="27" name="Destination" dataDxfId="36" totalsRowDxfId="10">
      <calculatedColumnFormula>MATCH(Liste_de_taches[[#This Row],[Tâche]],Résumé[Tâche],0)</calculatedColumnFormula>
    </tableColumn>
    <tableColumn id="9" name="6h" totalsRowFunction="sum" dataDxfId="35"/>
    <tableColumn id="10" name="7h" totalsRowFunction="sum" dataDxfId="34"/>
    <tableColumn id="11" name="8h" totalsRowFunction="sum" dataDxfId="33"/>
    <tableColumn id="12" name="9h" totalsRowFunction="sum" dataDxfId="32"/>
    <tableColumn id="13" name="10h" totalsRowFunction="sum" dataDxfId="31"/>
    <tableColumn id="14" name="11h" totalsRowFunction="sum" dataDxfId="30"/>
    <tableColumn id="15" name="12h" totalsRowFunction="sum" dataDxfId="29"/>
    <tableColumn id="16" name="13h" totalsRowFunction="sum" dataDxfId="28"/>
    <tableColumn id="17" name="14h" totalsRowFunction="sum" dataDxfId="27"/>
    <tableColumn id="18" name="15h" totalsRowFunction="sum" dataDxfId="26"/>
    <tableColumn id="19" name="16h" totalsRowFunction="sum" dataDxfId="25"/>
    <tableColumn id="20" name="17h" totalsRowFunction="sum" dataDxfId="24"/>
    <tableColumn id="21" name="18h" totalsRowFunction="sum" dataDxfId="23"/>
    <tableColumn id="22" name="19h" totalsRowFunction="sum" dataDxfId="22"/>
    <tableColumn id="23" name="20h" totalsRowFunction="sum" dataDxfId="21"/>
    <tableColumn id="24" name="Total" totalsRowFunction="sum" dataDxfId="20" totalsRowDxfId="9">
      <calculatedColumnFormula>SUM(Liste_de_taches[[#This Row],[6h]:[20h]])/60/24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Résumé" displayName="Résumé" ref="A2:G10" totalsRowCount="1" headerRowDxfId="19" tableBorderDxfId="18">
  <autoFilter ref="A2:G9"/>
  <tableColumns count="7">
    <tableColumn id="1" name="Tâche" totalsRowLabel="Total"/>
    <tableColumn id="2" name="Projet"/>
    <tableColumn id="3" name="Client"/>
    <tableColumn id="4" name="OI"/>
    <tableColumn id="5" name="06.08.2020" totalsRowFunction="sum" totalsRowDxfId="17"/>
    <tableColumn id="6" name="07.08.2020" totalsRowFunction="sum" dataDxfId="16" totalsRowDxfId="15"/>
    <tableColumn id="7" name="11.08.2020" totalsRowFunction="sum" dataDxfId="14" totalsRowDxfId="13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E10:F18" totalsRowShown="0">
  <autoFilter ref="E10:F18"/>
  <tableColumns count="2">
    <tableColumn id="1" name="Projet"/>
    <tableColumn id="2" name="OI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B1:AC14"/>
  <sheetViews>
    <sheetView tabSelected="1" zoomScale="90" zoomScaleNormal="90" workbookViewId="0">
      <pane xSplit="2" ySplit="5" topLeftCell="L6" activePane="bottomRight" state="frozen"/>
      <selection pane="topRight" activeCell="C1" sqref="C1"/>
      <selection pane="bottomLeft" activeCell="A6" sqref="A6"/>
      <selection pane="bottomRight" activeCell="R9" sqref="R9"/>
    </sheetView>
  </sheetViews>
  <sheetFormatPr baseColWidth="10" defaultRowHeight="14.5" x14ac:dyDescent="0.35"/>
  <cols>
    <col min="1" max="1" width="2.81640625" customWidth="1"/>
    <col min="2" max="2" width="68.26953125" bestFit="1" customWidth="1"/>
    <col min="3" max="3" width="33.453125" bestFit="1" customWidth="1"/>
    <col min="4" max="4" width="29.81640625" customWidth="1"/>
    <col min="5" max="5" width="7" bestFit="1" customWidth="1"/>
    <col min="6" max="6" width="11" style="2" bestFit="1" customWidth="1"/>
    <col min="7" max="7" width="19.1796875" bestFit="1" customWidth="1"/>
    <col min="8" max="9" width="13" bestFit="1" customWidth="1"/>
    <col min="10" max="10" width="8.7265625" bestFit="1" customWidth="1"/>
    <col min="11" max="11" width="9.1796875" bestFit="1" customWidth="1"/>
    <col min="12" max="12" width="10.6328125" bestFit="1" customWidth="1"/>
    <col min="13" max="16" width="5.453125" bestFit="1" customWidth="1"/>
    <col min="17" max="27" width="6.453125" bestFit="1" customWidth="1"/>
    <col min="28" max="28" width="8.1796875" bestFit="1" customWidth="1"/>
  </cols>
  <sheetData>
    <row r="1" spans="2:29" ht="26" x14ac:dyDescent="0.6">
      <c r="B1" s="52" t="s">
        <v>5</v>
      </c>
      <c r="C1" s="52"/>
      <c r="D1" s="52"/>
      <c r="E1" s="52"/>
      <c r="F1" s="52"/>
      <c r="G1" s="52"/>
      <c r="H1" s="52"/>
      <c r="I1" s="52"/>
    </row>
    <row r="2" spans="2:29" x14ac:dyDescent="0.35">
      <c r="C2" s="53"/>
      <c r="D2" s="53"/>
      <c r="E2" s="53"/>
      <c r="F2" s="53"/>
      <c r="G2" s="53"/>
      <c r="H2" s="53"/>
      <c r="I2" s="53"/>
    </row>
    <row r="3" spans="2:29" x14ac:dyDescent="0.35">
      <c r="C3" s="1"/>
      <c r="D3" s="1"/>
      <c r="E3" s="1"/>
      <c r="F3" s="5"/>
      <c r="G3" s="1"/>
      <c r="H3" s="1"/>
    </row>
    <row r="4" spans="2:29" x14ac:dyDescent="0.35">
      <c r="C4" s="1"/>
      <c r="D4" s="1"/>
      <c r="E4" s="1"/>
      <c r="F4" s="5"/>
      <c r="G4" s="1"/>
      <c r="H4" s="1"/>
      <c r="M4" s="54">
        <v>44056</v>
      </c>
      <c r="N4" s="54"/>
      <c r="O4" s="54"/>
      <c r="P4" s="54"/>
      <c r="Q4" s="54"/>
      <c r="R4" s="54"/>
      <c r="S4" s="54"/>
      <c r="T4" s="54"/>
      <c r="U4" s="54"/>
      <c r="V4" s="54"/>
      <c r="W4" s="54"/>
      <c r="X4" s="54"/>
      <c r="Y4" s="54"/>
      <c r="Z4" s="54"/>
      <c r="AA4" s="54"/>
      <c r="AB4" s="54"/>
    </row>
    <row r="5" spans="2:29" s="3" customFormat="1" ht="29" x14ac:dyDescent="0.35">
      <c r="B5" s="3" t="s">
        <v>1</v>
      </c>
      <c r="C5" s="3" t="s">
        <v>0</v>
      </c>
      <c r="D5" s="3" t="s">
        <v>27</v>
      </c>
      <c r="E5" s="3" t="s">
        <v>28</v>
      </c>
      <c r="F5" s="6" t="s">
        <v>29</v>
      </c>
      <c r="G5" s="3" t="s">
        <v>8</v>
      </c>
      <c r="H5" s="3" t="s">
        <v>6</v>
      </c>
      <c r="I5" s="3" t="s">
        <v>7</v>
      </c>
      <c r="J5" s="3" t="s">
        <v>9</v>
      </c>
      <c r="K5" s="11" t="s">
        <v>11</v>
      </c>
      <c r="L5" s="46" t="s">
        <v>42</v>
      </c>
      <c r="M5" s="10" t="s">
        <v>12</v>
      </c>
      <c r="N5" s="10" t="s">
        <v>13</v>
      </c>
      <c r="O5" s="10" t="s">
        <v>14</v>
      </c>
      <c r="P5" s="10" t="s">
        <v>15</v>
      </c>
      <c r="Q5" s="10" t="s">
        <v>16</v>
      </c>
      <c r="R5" s="10" t="s">
        <v>17</v>
      </c>
      <c r="S5" s="10" t="s">
        <v>18</v>
      </c>
      <c r="T5" s="10" t="s">
        <v>19</v>
      </c>
      <c r="U5" s="10" t="s">
        <v>20</v>
      </c>
      <c r="V5" s="10" t="s">
        <v>21</v>
      </c>
      <c r="W5" s="10" t="s">
        <v>22</v>
      </c>
      <c r="X5" s="10" t="s">
        <v>23</v>
      </c>
      <c r="Y5" s="10" t="s">
        <v>24</v>
      </c>
      <c r="Z5" s="10" t="s">
        <v>25</v>
      </c>
      <c r="AA5" s="10" t="s">
        <v>26</v>
      </c>
      <c r="AB5" s="10" t="s">
        <v>10</v>
      </c>
    </row>
    <row r="6" spans="2:29" s="3" customFormat="1" x14ac:dyDescent="0.35">
      <c r="B6" s="12" t="s">
        <v>30</v>
      </c>
      <c r="C6" s="13" t="s">
        <v>31</v>
      </c>
      <c r="D6" s="12"/>
      <c r="E6" s="14">
        <f>VLOOKUP(Liste_de_taches[[#This Row],[Projet]],tableau_OI,2,FALSE)</f>
        <v>100426</v>
      </c>
      <c r="F6" s="15"/>
      <c r="G6" s="1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H6" s="12"/>
      <c r="I6" s="12"/>
      <c r="J6" s="1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6" s="16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6" s="47">
        <f>MATCH(Liste_de_taches[[#This Row],[Tâche]],Résumé[Tâche],0)</f>
        <v>1</v>
      </c>
      <c r="M6" s="17"/>
      <c r="N6" s="17"/>
      <c r="O6" s="17"/>
      <c r="P6" s="17">
        <v>1</v>
      </c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8">
        <f>SUM(Liste_de_taches[[#This Row],[6h]:[20h]])/60/24</f>
        <v>6.9444444444444447E-4</v>
      </c>
    </row>
    <row r="7" spans="2:29" s="3" customFormat="1" x14ac:dyDescent="0.35">
      <c r="B7" s="19" t="s">
        <v>39</v>
      </c>
      <c r="C7" s="20" t="s">
        <v>32</v>
      </c>
      <c r="D7" s="19"/>
      <c r="E7" s="21">
        <f>VLOOKUP(Liste_de_taches[[#This Row],[Projet]],tableau_OI,2,FALSE)</f>
        <v>100431</v>
      </c>
      <c r="F7" s="22"/>
      <c r="G7" s="21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NON</v>
      </c>
      <c r="H7" s="19"/>
      <c r="I7" s="19"/>
      <c r="J7" s="21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7" s="23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7" s="23">
        <f>MATCH(Liste_de_taches[[#This Row],[Tâche]],Résumé[Tâche],0)</f>
        <v>2</v>
      </c>
      <c r="M7" s="24"/>
      <c r="N7" s="25"/>
      <c r="O7" s="25"/>
      <c r="P7" s="25"/>
      <c r="Q7" s="25">
        <v>1</v>
      </c>
      <c r="R7" s="25"/>
      <c r="S7" s="25"/>
      <c r="T7" s="25"/>
      <c r="U7" s="25"/>
      <c r="V7" s="25"/>
      <c r="W7" s="25"/>
      <c r="X7" s="25"/>
      <c r="Y7" s="25"/>
      <c r="Z7" s="25"/>
      <c r="AA7" s="25"/>
      <c r="AB7" s="26">
        <f>SUM(Liste_de_taches[[#This Row],[6h]:[20h]])/60/24</f>
        <v>6.9444444444444447E-4</v>
      </c>
    </row>
    <row r="8" spans="2:29" x14ac:dyDescent="0.35">
      <c r="B8" t="s">
        <v>2</v>
      </c>
      <c r="C8" t="s">
        <v>34</v>
      </c>
      <c r="E8">
        <f>VLOOKUP(Liste_de_taches[[#This Row],[Projet]],tableau_OI,2,FALSE)</f>
        <v>100440</v>
      </c>
      <c r="G8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8" s="2"/>
      <c r="I8" s="2">
        <v>43945</v>
      </c>
      <c r="J8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8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8">
        <f>MATCH(Liste_de_taches[[#This Row],[Tâche]],Résumé[Tâche],0)</f>
        <v>3</v>
      </c>
      <c r="M8" s="9"/>
      <c r="N8" s="4"/>
      <c r="O8" s="4"/>
      <c r="P8" s="4"/>
      <c r="Q8" s="4"/>
      <c r="R8" s="4">
        <v>1</v>
      </c>
      <c r="S8" s="4"/>
      <c r="T8" s="4"/>
      <c r="U8" s="4"/>
      <c r="V8" s="4"/>
      <c r="W8" s="4"/>
      <c r="X8" s="4"/>
      <c r="Y8" s="4"/>
      <c r="Z8" s="4"/>
      <c r="AA8" s="4"/>
      <c r="AB8" s="8">
        <f>SUM(Liste_de_taches[[#This Row],[6h]:[20h]])/60/24</f>
        <v>6.9444444444444447E-4</v>
      </c>
      <c r="AC8" s="4"/>
    </row>
    <row r="9" spans="2:29" x14ac:dyDescent="0.35">
      <c r="B9" t="s">
        <v>3</v>
      </c>
      <c r="C9" t="s">
        <v>35</v>
      </c>
      <c r="E9">
        <f>VLOOKUP(Liste_de_taches[[#This Row],[Projet]],tableau_OI,2,FALSE)</f>
        <v>100445</v>
      </c>
      <c r="G9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I9" s="2">
        <v>43945</v>
      </c>
      <c r="J9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9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9">
        <f>MATCH(Liste_de_taches[[#This Row],[Tâche]],Résumé[Tâche],0)</f>
        <v>4</v>
      </c>
      <c r="M9" s="9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8">
        <f>SUM(Liste_de_taches[[#This Row],[6h]:[20h]])/60/24</f>
        <v>0</v>
      </c>
      <c r="AC9" s="4"/>
    </row>
    <row r="10" spans="2:29" x14ac:dyDescent="0.35">
      <c r="B10" t="s">
        <v>4</v>
      </c>
      <c r="C10" t="s">
        <v>36</v>
      </c>
      <c r="E10">
        <f>VLOOKUP(Liste_de_taches[[#This Row],[Projet]],tableau_OI,2,FALSE)</f>
        <v>100443</v>
      </c>
      <c r="G10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10" s="2">
        <v>43951</v>
      </c>
      <c r="I10" s="2">
        <v>43964</v>
      </c>
      <c r="J10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0">
        <f>IF(AND(Liste_de_taches[[#This Row],[Date de fin planifiée]]&lt;&gt;"",Liste_de_taches[[#This Row],[Date de fin effective]]&lt;&gt;""),Liste_de_taches[[#This Row],[Date de fin planifiée]]-Liste_de_taches[[#This Row],[Date de fin effective]],"")</f>
        <v>-13</v>
      </c>
      <c r="L10">
        <f>MATCH(Liste_de_taches[[#This Row],[Tâche]],Résumé[Tâche],0)</f>
        <v>5</v>
      </c>
      <c r="M10" s="9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8">
        <f>SUM(Liste_de_taches[[#This Row],[6h]:[20h]])/60/24</f>
        <v>0</v>
      </c>
      <c r="AC10" s="4"/>
    </row>
    <row r="11" spans="2:29" x14ac:dyDescent="0.35">
      <c r="B11" t="s">
        <v>40</v>
      </c>
      <c r="C11" t="s">
        <v>37</v>
      </c>
      <c r="E11">
        <f>VLOOKUP(Liste_de_taches[[#This Row],[Projet]],tableau_OI,2,FALSE)</f>
        <v>100720</v>
      </c>
      <c r="G11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H11" s="2">
        <v>43951</v>
      </c>
      <c r="I11" s="2">
        <v>43964</v>
      </c>
      <c r="J11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1">
        <f>IF(AND(Liste_de_taches[[#This Row],[Date de fin planifiée]]&lt;&gt;"",Liste_de_taches[[#This Row],[Date de fin effective]]&lt;&gt;""),Liste_de_taches[[#This Row],[Date de fin planifiée]]-Liste_de_taches[[#This Row],[Date de fin effective]],"")</f>
        <v>-13</v>
      </c>
      <c r="L11">
        <f>MATCH(Liste_de_taches[[#This Row],[Tâche]],Résumé[Tâche],0)</f>
        <v>6</v>
      </c>
      <c r="M11" s="9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8">
        <f>SUM(Liste_de_taches[[#This Row],[6h]:[20h]])/60/24</f>
        <v>0</v>
      </c>
      <c r="AC11" s="4"/>
    </row>
    <row r="12" spans="2:29" x14ac:dyDescent="0.35">
      <c r="B12" t="s">
        <v>41</v>
      </c>
      <c r="C12" t="s">
        <v>38</v>
      </c>
      <c r="E12">
        <f>VLOOKUP(Liste_de_taches[[#This Row],[Projet]],tableau_OI,2,FALSE)</f>
        <v>100433</v>
      </c>
      <c r="G12" s="4" t="str">
        <f ca="1">IF(AND(Liste_de_taches[[#This Row],[Date de fin planifiée]]-TODAY()&lt;=7,Liste_de_taches[[#This Row],[Date de fin planifiée]]&lt;&gt;"",Liste_de_taches[[#This Row],[Date de fin effective]]=""),"OUI",IF(Liste_de_taches[[#This Row],[Date de fin effective]]&lt;&gt;"","TERMINE","NON"))</f>
        <v>TERMINE</v>
      </c>
      <c r="I12" s="2">
        <v>43901</v>
      </c>
      <c r="J12" s="4" t="str">
        <f>IF(AND(Liste_de_taches[[#This Row],[Date
d''entrée]]&lt;&gt;"",Liste_de_taches[[#This Row],[Date de fin effective]]&lt;&gt;""),Liste_de_taches[[#This Row],[Date de fin effective]]-Liste_de_taches[[#This Row],[Date
d''entrée]],"")</f>
        <v/>
      </c>
      <c r="K12" t="str">
        <f>IF(AND(Liste_de_taches[[#This Row],[Date de fin planifiée]]&lt;&gt;"",Liste_de_taches[[#This Row],[Date de fin effective]]&lt;&gt;""),Liste_de_taches[[#This Row],[Date de fin planifiée]]-Liste_de_taches[[#This Row],[Date de fin effective]],"")</f>
        <v/>
      </c>
      <c r="L12">
        <f>MATCH(Liste_de_taches[[#This Row],[Tâche]],Résumé[Tâche],0)</f>
        <v>7</v>
      </c>
      <c r="M12" s="9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8">
        <f>SUM(Liste_de_taches[[#This Row],[6h]:[20h]])/60/24</f>
        <v>0</v>
      </c>
      <c r="AC12" s="4"/>
    </row>
    <row r="13" spans="2:29" x14ac:dyDescent="0.35">
      <c r="B13" t="s">
        <v>10</v>
      </c>
      <c r="F13"/>
      <c r="J13" s="7" t="e">
        <f>SUBTOTAL(101,Liste_de_taches[Durée])</f>
        <v>#DIV/0!</v>
      </c>
      <c r="K13" s="27">
        <f>SUBTOTAL(101,Liste_de_taches[Retard])</f>
        <v>-13</v>
      </c>
      <c r="L13" s="27"/>
      <c r="M13">
        <f>SUBTOTAL(109,Liste_de_taches[6h])</f>
        <v>0</v>
      </c>
      <c r="N13">
        <f>SUBTOTAL(109,Liste_de_taches[7h])</f>
        <v>0</v>
      </c>
      <c r="O13">
        <f>SUBTOTAL(109,Liste_de_taches[8h])</f>
        <v>0</v>
      </c>
      <c r="P13">
        <f>SUBTOTAL(109,Liste_de_taches[9h])</f>
        <v>1</v>
      </c>
      <c r="Q13">
        <f>SUBTOTAL(109,Liste_de_taches[10h])</f>
        <v>1</v>
      </c>
      <c r="R13">
        <f>SUBTOTAL(109,Liste_de_taches[11h])</f>
        <v>1</v>
      </c>
      <c r="S13">
        <f>SUBTOTAL(109,Liste_de_taches[12h])</f>
        <v>0</v>
      </c>
      <c r="T13">
        <f>SUBTOTAL(109,Liste_de_taches[13h])</f>
        <v>0</v>
      </c>
      <c r="U13">
        <f>SUBTOTAL(109,Liste_de_taches[14h])</f>
        <v>0</v>
      </c>
      <c r="V13">
        <f>SUBTOTAL(109,Liste_de_taches[15h])</f>
        <v>0</v>
      </c>
      <c r="W13">
        <f>SUBTOTAL(109,Liste_de_taches[16h])</f>
        <v>0</v>
      </c>
      <c r="X13">
        <f>SUBTOTAL(109,Liste_de_taches[17h])</f>
        <v>0</v>
      </c>
      <c r="Y13">
        <f>SUBTOTAL(109,Liste_de_taches[18h])</f>
        <v>0</v>
      </c>
      <c r="Z13">
        <f>SUBTOTAL(109,Liste_de_taches[19h])</f>
        <v>0</v>
      </c>
      <c r="AA13">
        <f>SUBTOTAL(109,Liste_de_taches[20h])</f>
        <v>0</v>
      </c>
      <c r="AB13" s="8">
        <f>SUBTOTAL(109,Liste_de_taches[Total])</f>
        <v>2.0833333333333333E-3</v>
      </c>
    </row>
    <row r="14" spans="2:29" x14ac:dyDescent="0.35">
      <c r="G14" s="4"/>
      <c r="H14" s="2"/>
      <c r="I14" s="2"/>
    </row>
  </sheetData>
  <mergeCells count="3">
    <mergeCell ref="B1:I1"/>
    <mergeCell ref="C2:I2"/>
    <mergeCell ref="M4:AB4"/>
  </mergeCells>
  <conditionalFormatting sqref="I14:I16 I18:I958 I8:I12">
    <cfRule type="expression" dxfId="8" priority="9">
      <formula>IF(AND($H8&lt;&gt;"",$I8&lt;&gt;""),$I8&gt;$H8,"")</formula>
    </cfRule>
  </conditionalFormatting>
  <conditionalFormatting sqref="G14:G16 G9:G12 G18:G958">
    <cfRule type="containsText" dxfId="7" priority="8" operator="containsText" text="OUI">
      <formula>NOT(ISERROR(SEARCH("OUI",G9)))</formula>
    </cfRule>
  </conditionalFormatting>
  <conditionalFormatting sqref="G14:G16 G18:G956 G6:G12">
    <cfRule type="containsText" dxfId="6" priority="7" operator="containsText" text="TERMINE">
      <formula>NOT(ISERROR(SEARCH("TERMINE",G6)))</formula>
    </cfRule>
  </conditionalFormatting>
  <conditionalFormatting sqref="K8:AC12">
    <cfRule type="cellIs" dxfId="5" priority="6" operator="lessThan">
      <formula>0</formula>
    </cfRule>
  </conditionalFormatting>
  <conditionalFormatting sqref="K13:L13 AB13">
    <cfRule type="cellIs" dxfId="4" priority="4" operator="lessThan">
      <formula>0</formula>
    </cfRule>
    <cfRule type="cellIs" dxfId="3" priority="5" operator="greaterThan">
      <formula>0</formula>
    </cfRule>
  </conditionalFormatting>
  <conditionalFormatting sqref="M6:AA7">
    <cfRule type="cellIs" dxfId="2" priority="3" operator="lessThan">
      <formula>0</formula>
    </cfRule>
  </conditionalFormatting>
  <conditionalFormatting sqref="AB6:AB7">
    <cfRule type="cellIs" dxfId="1" priority="2" operator="lessThan">
      <formula>0</formula>
    </cfRule>
  </conditionalFormatting>
  <conditionalFormatting sqref="M13:AA13">
    <cfRule type="cellIs" dxfId="0" priority="1" operator="greaterThan">
      <formula>60</formula>
    </cfRule>
  </conditionalFormatting>
  <dataValidations count="1">
    <dataValidation type="list" allowBlank="1" showInputMessage="1" showErrorMessage="1" sqref="C8:D8 C6:C7 C9:C12">
      <formula1>liste_projets</formula1>
    </dataValidation>
  </dataValidations>
  <pageMargins left="0.7" right="0.7" top="0.75" bottom="0.75" header="0.3" footer="0.3"/>
  <pageSetup paperSize="9" scale="41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G11"/>
  <sheetViews>
    <sheetView workbookViewId="0">
      <selection activeCell="G3" sqref="G3"/>
    </sheetView>
  </sheetViews>
  <sheetFormatPr baseColWidth="10" defaultRowHeight="14.5" x14ac:dyDescent="0.35"/>
  <cols>
    <col min="1" max="1" width="46.54296875" bestFit="1" customWidth="1"/>
    <col min="2" max="2" width="9.81640625" bestFit="1" customWidth="1"/>
    <col min="3" max="3" width="8.453125" customWidth="1"/>
    <col min="4" max="4" width="7" bestFit="1" customWidth="1"/>
    <col min="5" max="6" width="12.54296875" customWidth="1"/>
  </cols>
  <sheetData>
    <row r="2" spans="1:7" x14ac:dyDescent="0.35">
      <c r="A2" s="30" t="s">
        <v>1</v>
      </c>
      <c r="B2" s="30" t="s">
        <v>0</v>
      </c>
      <c r="C2" s="30" t="s">
        <v>27</v>
      </c>
      <c r="D2" s="30" t="s">
        <v>28</v>
      </c>
      <c r="E2" s="39" t="s">
        <v>43</v>
      </c>
      <c r="F2" s="39" t="s">
        <v>44</v>
      </c>
      <c r="G2" s="51" t="s">
        <v>45</v>
      </c>
    </row>
    <row r="3" spans="1:7" x14ac:dyDescent="0.35">
      <c r="A3" s="31" t="s">
        <v>30</v>
      </c>
      <c r="B3" s="34" t="s">
        <v>31</v>
      </c>
      <c r="C3" s="31"/>
      <c r="D3" s="38">
        <v>100426</v>
      </c>
      <c r="E3" s="40">
        <v>3.125E-2</v>
      </c>
      <c r="F3" s="40">
        <v>0</v>
      </c>
      <c r="G3" s="49">
        <v>0</v>
      </c>
    </row>
    <row r="4" spans="1:7" x14ac:dyDescent="0.35">
      <c r="A4" s="32" t="s">
        <v>39</v>
      </c>
      <c r="B4" s="35" t="s">
        <v>32</v>
      </c>
      <c r="C4" s="32"/>
      <c r="D4" s="33">
        <v>100431</v>
      </c>
      <c r="E4" s="41">
        <v>1.0416666666666666E-2</v>
      </c>
      <c r="F4" s="41">
        <v>2.0833333333333332E-2</v>
      </c>
      <c r="G4" s="48">
        <v>0</v>
      </c>
    </row>
    <row r="5" spans="1:7" x14ac:dyDescent="0.35">
      <c r="A5" s="37" t="s">
        <v>2</v>
      </c>
      <c r="B5" s="37" t="s">
        <v>34</v>
      </c>
      <c r="C5" s="37"/>
      <c r="D5" s="37">
        <v>100440</v>
      </c>
      <c r="E5" s="42">
        <v>0.19791666666666666</v>
      </c>
      <c r="F5" s="42">
        <v>0.10416666666666667</v>
      </c>
      <c r="G5" s="42">
        <v>0</v>
      </c>
    </row>
    <row r="6" spans="1:7" x14ac:dyDescent="0.35">
      <c r="A6" s="36" t="s">
        <v>3</v>
      </c>
      <c r="B6" s="36" t="s">
        <v>35</v>
      </c>
      <c r="C6" s="36"/>
      <c r="D6" s="36">
        <v>100445</v>
      </c>
      <c r="E6" s="43">
        <v>0</v>
      </c>
      <c r="F6" s="43">
        <v>3.125E-2</v>
      </c>
      <c r="G6" s="42">
        <v>0</v>
      </c>
    </row>
    <row r="7" spans="1:7" x14ac:dyDescent="0.35">
      <c r="A7" s="37" t="s">
        <v>4</v>
      </c>
      <c r="B7" s="37" t="s">
        <v>36</v>
      </c>
      <c r="C7" s="37"/>
      <c r="D7" s="37">
        <v>100443</v>
      </c>
      <c r="E7" s="42">
        <v>0</v>
      </c>
      <c r="F7" s="42">
        <v>1.0416666666666666E-2</v>
      </c>
      <c r="G7" s="42">
        <v>0</v>
      </c>
    </row>
    <row r="8" spans="1:7" x14ac:dyDescent="0.35">
      <c r="A8" s="36" t="s">
        <v>40</v>
      </c>
      <c r="B8" s="36" t="s">
        <v>37</v>
      </c>
      <c r="C8" s="36"/>
      <c r="D8" s="36">
        <v>100720</v>
      </c>
      <c r="E8" s="43">
        <v>9.375E-2</v>
      </c>
      <c r="F8" s="43">
        <v>0</v>
      </c>
      <c r="G8" s="42">
        <v>0</v>
      </c>
    </row>
    <row r="9" spans="1:7" x14ac:dyDescent="0.35">
      <c r="A9" s="37" t="s">
        <v>41</v>
      </c>
      <c r="B9" s="37" t="s">
        <v>38</v>
      </c>
      <c r="C9" s="37"/>
      <c r="D9" s="37">
        <v>100433</v>
      </c>
      <c r="E9" s="42">
        <v>0</v>
      </c>
      <c r="F9" s="42">
        <v>2.0833333333333332E-2</v>
      </c>
      <c r="G9" s="50">
        <v>0</v>
      </c>
    </row>
    <row r="10" spans="1:7" x14ac:dyDescent="0.35">
      <c r="A10" t="s">
        <v>10</v>
      </c>
      <c r="E10" s="8">
        <f>SUBTOTAL(109,Résumé[06.08.2020])</f>
        <v>0.33333333333333331</v>
      </c>
      <c r="F10" s="8">
        <f>SUBTOTAL(109,Résumé[07.08.2020])</f>
        <v>0.1875</v>
      </c>
      <c r="G10" s="8">
        <f>SUBTOTAL(109,Résumé[11.08.2020])</f>
        <v>0</v>
      </c>
    </row>
    <row r="11" spans="1:7" x14ac:dyDescent="0.35">
      <c r="A11" s="44"/>
      <c r="B11" s="44"/>
      <c r="C11" s="44"/>
      <c r="D11" s="44"/>
      <c r="E11" s="45"/>
      <c r="F11" s="45"/>
    </row>
  </sheetData>
  <dataValidations count="1">
    <dataValidation type="list" allowBlank="1" showInputMessage="1" showErrorMessage="1" sqref="B5:C5 B3:B4 B6:B9">
      <formula1>liste_projets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E10:F27"/>
  <sheetViews>
    <sheetView workbookViewId="0">
      <selection activeCell="E11" sqref="E11:E18"/>
    </sheetView>
  </sheetViews>
  <sheetFormatPr baseColWidth="10" defaultRowHeight="14.5" x14ac:dyDescent="0.35"/>
  <cols>
    <col min="5" max="5" width="33.453125" bestFit="1" customWidth="1"/>
    <col min="6" max="6" width="11.54296875" customWidth="1"/>
    <col min="7" max="7" width="33.7265625" bestFit="1" customWidth="1"/>
    <col min="8" max="8" width="14.81640625" bestFit="1" customWidth="1"/>
  </cols>
  <sheetData>
    <row r="10" spans="5:6" x14ac:dyDescent="0.35">
      <c r="E10" t="s">
        <v>0</v>
      </c>
      <c r="F10" t="s">
        <v>28</v>
      </c>
    </row>
    <row r="11" spans="5:6" ht="15" customHeight="1" x14ac:dyDescent="0.35">
      <c r="E11" t="s">
        <v>31</v>
      </c>
      <c r="F11">
        <v>100426</v>
      </c>
    </row>
    <row r="12" spans="5:6" x14ac:dyDescent="0.35">
      <c r="E12" t="s">
        <v>32</v>
      </c>
      <c r="F12">
        <v>100431</v>
      </c>
    </row>
    <row r="13" spans="5:6" x14ac:dyDescent="0.35">
      <c r="E13" t="s">
        <v>33</v>
      </c>
      <c r="F13">
        <v>100673</v>
      </c>
    </row>
    <row r="14" spans="5:6" x14ac:dyDescent="0.35">
      <c r="E14" t="s">
        <v>34</v>
      </c>
      <c r="F14">
        <v>100440</v>
      </c>
    </row>
    <row r="15" spans="5:6" x14ac:dyDescent="0.35">
      <c r="E15" t="s">
        <v>35</v>
      </c>
      <c r="F15">
        <v>100445</v>
      </c>
    </row>
    <row r="16" spans="5:6" x14ac:dyDescent="0.35">
      <c r="E16" t="s">
        <v>36</v>
      </c>
      <c r="F16">
        <v>100443</v>
      </c>
    </row>
    <row r="17" spans="5:6" x14ac:dyDescent="0.35">
      <c r="E17" t="s">
        <v>37</v>
      </c>
      <c r="F17">
        <v>100720</v>
      </c>
    </row>
    <row r="18" spans="5:6" x14ac:dyDescent="0.35">
      <c r="E18" t="s">
        <v>38</v>
      </c>
      <c r="F18">
        <v>100433</v>
      </c>
    </row>
    <row r="22" spans="5:6" x14ac:dyDescent="0.35">
      <c r="E22" s="28"/>
    </row>
    <row r="23" spans="5:6" ht="15" customHeight="1" x14ac:dyDescent="0.35">
      <c r="E23" s="28"/>
    </row>
    <row r="24" spans="5:6" x14ac:dyDescent="0.35">
      <c r="E24" s="28"/>
    </row>
    <row r="25" spans="5:6" x14ac:dyDescent="0.35">
      <c r="E25" s="28"/>
      <c r="F25" s="28"/>
    </row>
    <row r="26" spans="5:6" x14ac:dyDescent="0.35">
      <c r="E26" s="29"/>
    </row>
    <row r="27" spans="5:6" x14ac:dyDescent="0.35">
      <c r="E27" s="29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Source</vt:lpstr>
      <vt:lpstr>Destination</vt:lpstr>
      <vt:lpstr>Liste_OF</vt:lpstr>
      <vt:lpstr>DateActuelle</vt:lpstr>
      <vt:lpstr>liste_projets</vt:lpstr>
      <vt:lpstr>tableau_OI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Rebetez, Julien</dc:creator>
  <cp:lastModifiedBy>Michel</cp:lastModifiedBy>
  <cp:lastPrinted>2020-07-17T12:38:10Z</cp:lastPrinted>
  <dcterms:created xsi:type="dcterms:W3CDTF">2020-03-12T14:36:59Z</dcterms:created>
  <dcterms:modified xsi:type="dcterms:W3CDTF">2020-08-13T12:06:54Z</dcterms:modified>
</cp:coreProperties>
</file>