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89"/>
  </bookViews>
  <sheets>
    <sheet name="Cours (2)" sheetId="13" r:id="rId1"/>
    <sheet name="Détail" sheetId="14" r:id="rId2"/>
  </sheets>
  <definedNames>
    <definedName name="_xlnm._FilterDatabase" localSheetId="1" hidden="1">Détail!$A$17:$F$81</definedName>
    <definedName name="a">'Cours (2)'!$G$3</definedName>
    <definedName name="ab">#REF!</definedName>
    <definedName name="aep">#REF!</definedName>
    <definedName name="aepj">#REF!</definedName>
    <definedName name="asfer">#REF!</definedName>
    <definedName name="Aviva">#REF!</definedName>
    <definedName name="b">#REF!</definedName>
    <definedName name="brutafer">#REF!</definedName>
    <definedName name="Cotation" localSheetId="0">'Cours (2)'!$D$3</definedName>
    <definedName name="cpee">'Cours (2)'!#REF!</definedName>
    <definedName name="csfer">#REF!</definedName>
    <definedName name="d">'Cours (2)'!$D$1</definedName>
    <definedName name="e">'Cours (2)'!$A$1</definedName>
    <definedName name="g">#REF!</definedName>
    <definedName name="gaep">#REF!</definedName>
    <definedName name="ia">#REF!</definedName>
    <definedName name="Int_Rate" localSheetId="0" hidden="1">#REF!</definedName>
    <definedName name="Int_Rate" hidden="1">#REF!</definedName>
    <definedName name="Loan_Amount" localSheetId="0" hidden="1">#REF!</definedName>
    <definedName name="Loan_Amount" hidden="1">#REF!</definedName>
    <definedName name="nbmt">#REF!</definedName>
    <definedName name="Num_Pmts" localSheetId="0" hidden="1">#REF!</definedName>
    <definedName name="Num_Pmts" hidden="1">#REF!</definedName>
    <definedName name="Num_Years" localSheetId="0" hidden="1">#REF!</definedName>
    <definedName name="Num_Years" hidden="1">#REF!</definedName>
    <definedName name="peej">#REF!</definedName>
    <definedName name="peemt">#REF!</definedName>
    <definedName name="REF" localSheetId="0">'Cours (2)'!$B$3</definedName>
    <definedName name="rmt">#REF!</definedName>
    <definedName name="sae">#REF!</definedName>
    <definedName name="sfer">#REF!</definedName>
    <definedName name="WWW" localSheetId="0">'Cours (2)'!$C$3</definedName>
  </definedNames>
  <calcPr calcId="152511"/>
  <pivotCaches>
    <pivotCache cacheId="0" r:id="rId3"/>
  </pivotCache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4" l="1"/>
  <c r="D6" i="14"/>
  <c r="C6" i="14"/>
  <c r="Z6" i="13"/>
  <c r="Z7" i="13"/>
  <c r="Z8" i="13"/>
  <c r="Z9" i="13"/>
  <c r="Z10" i="13"/>
  <c r="Z11" i="13"/>
  <c r="Z12" i="13"/>
  <c r="Z13" i="13"/>
  <c r="Z14" i="13"/>
  <c r="Z15" i="13"/>
  <c r="Z16" i="13"/>
  <c r="Z17" i="13"/>
  <c r="Z18" i="13"/>
  <c r="Z19" i="13"/>
  <c r="Z20" i="13"/>
  <c r="Z5" i="13"/>
  <c r="Z4" i="13"/>
  <c r="AA6" i="13"/>
  <c r="AA7" i="13"/>
  <c r="AA8" i="13"/>
  <c r="AA9" i="13"/>
  <c r="AA10" i="13"/>
  <c r="AA11" i="13"/>
  <c r="AA12" i="13"/>
  <c r="AA13" i="13"/>
  <c r="AA14" i="13"/>
  <c r="AA15" i="13"/>
  <c r="AA16" i="13"/>
  <c r="AA17" i="13"/>
  <c r="AA18" i="13"/>
  <c r="AA19" i="13"/>
  <c r="AA20" i="13"/>
  <c r="AA5" i="13"/>
  <c r="AA4" i="13"/>
  <c r="A24" i="13"/>
  <c r="G24" i="13" s="1"/>
  <c r="A4" i="14"/>
  <c r="A3" i="14"/>
  <c r="A1" i="14"/>
  <c r="D7" i="14"/>
  <c r="H79" i="14"/>
  <c r="H78" i="14"/>
  <c r="H77" i="14"/>
  <c r="H76" i="14"/>
  <c r="H75" i="14"/>
  <c r="H74" i="14"/>
  <c r="H73" i="14"/>
  <c r="H72" i="14"/>
  <c r="H71" i="14"/>
  <c r="H70" i="14"/>
  <c r="H69" i="14"/>
  <c r="H68" i="14"/>
  <c r="H66" i="14"/>
  <c r="H62" i="14"/>
  <c r="H59" i="14"/>
  <c r="H58" i="14"/>
  <c r="H56" i="14"/>
  <c r="H54" i="14"/>
  <c r="H53" i="14"/>
  <c r="H52" i="14"/>
  <c r="H51" i="14"/>
  <c r="H50" i="14"/>
  <c r="H49" i="14"/>
  <c r="H48" i="14"/>
  <c r="H47" i="14"/>
  <c r="H46" i="14"/>
  <c r="H45" i="14"/>
  <c r="H44" i="14"/>
  <c r="H43" i="14"/>
  <c r="H42" i="14"/>
  <c r="H41" i="14"/>
  <c r="H40" i="14"/>
  <c r="H39" i="14"/>
  <c r="H37" i="14"/>
  <c r="H36" i="14"/>
  <c r="H35" i="14"/>
  <c r="H34" i="14"/>
  <c r="H29" i="14"/>
  <c r="H30" i="14"/>
  <c r="H26" i="14"/>
  <c r="H24" i="14"/>
  <c r="H23" i="14"/>
  <c r="H20" i="14"/>
  <c r="H18" i="14"/>
  <c r="H80" i="14"/>
  <c r="G67" i="14"/>
  <c r="G65" i="14"/>
  <c r="G64" i="14"/>
  <c r="G63" i="14"/>
  <c r="G61" i="14"/>
  <c r="G60" i="14"/>
  <c r="G57" i="14"/>
  <c r="G55" i="14"/>
  <c r="G38" i="14"/>
  <c r="G33" i="14"/>
  <c r="G32" i="14"/>
  <c r="G31" i="14"/>
  <c r="G28" i="14"/>
  <c r="G27" i="14"/>
  <c r="G25" i="14"/>
  <c r="G22" i="14"/>
  <c r="G21" i="14"/>
  <c r="G19" i="14"/>
  <c r="G18" i="14"/>
  <c r="E20" i="14"/>
  <c r="G20" i="14"/>
  <c r="E23" i="14"/>
  <c r="G23" i="14"/>
  <c r="E24" i="14"/>
  <c r="G24" i="14"/>
  <c r="E26" i="14"/>
  <c r="G26" i="14"/>
  <c r="E30" i="14"/>
  <c r="E29" i="14"/>
  <c r="G29" i="14" s="1"/>
  <c r="E34" i="14"/>
  <c r="G34" i="14"/>
  <c r="E35" i="14"/>
  <c r="G35" i="14" s="1"/>
  <c r="E36" i="14"/>
  <c r="G36" i="14"/>
  <c r="E37" i="14"/>
  <c r="G37" i="14" s="1"/>
  <c r="E39" i="14"/>
  <c r="G39" i="14"/>
  <c r="E40" i="14"/>
  <c r="G40" i="14" s="1"/>
  <c r="E41" i="14"/>
  <c r="G41" i="14"/>
  <c r="E42" i="14"/>
  <c r="G42" i="14" s="1"/>
  <c r="E43" i="14"/>
  <c r="G43" i="14"/>
  <c r="E44" i="14"/>
  <c r="G44" i="14" s="1"/>
  <c r="E45" i="14"/>
  <c r="G45" i="14"/>
  <c r="E46" i="14"/>
  <c r="G46" i="14" s="1"/>
  <c r="E47" i="14"/>
  <c r="G47" i="14"/>
  <c r="E48" i="14"/>
  <c r="G48" i="14" s="1"/>
  <c r="E49" i="14"/>
  <c r="G49" i="14"/>
  <c r="E50" i="14"/>
  <c r="G50" i="14" s="1"/>
  <c r="E51" i="14"/>
  <c r="G51" i="14"/>
  <c r="E52" i="14"/>
  <c r="G52" i="14" s="1"/>
  <c r="E53" i="14"/>
  <c r="G53" i="14"/>
  <c r="E54" i="14"/>
  <c r="G54" i="14" s="1"/>
  <c r="E56" i="14"/>
  <c r="G56" i="14"/>
  <c r="E58" i="14"/>
  <c r="G58" i="14" s="1"/>
  <c r="E59" i="14"/>
  <c r="G59" i="14"/>
  <c r="E62" i="14"/>
  <c r="G62" i="14" s="1"/>
  <c r="E66" i="14"/>
  <c r="G66" i="14"/>
  <c r="E68" i="14"/>
  <c r="G68" i="14" s="1"/>
  <c r="E69" i="14"/>
  <c r="G69" i="14"/>
  <c r="E70" i="14"/>
  <c r="G70" i="14" s="1"/>
  <c r="E71" i="14"/>
  <c r="G71" i="14"/>
  <c r="E72" i="14"/>
  <c r="G72" i="14" s="1"/>
  <c r="E73" i="14"/>
  <c r="G73" i="14"/>
  <c r="E74" i="14"/>
  <c r="G74" i="14" s="1"/>
  <c r="E75" i="14"/>
  <c r="G75" i="14"/>
  <c r="E76" i="14"/>
  <c r="G76" i="14" s="1"/>
  <c r="E77" i="14"/>
  <c r="G77" i="14"/>
  <c r="E78" i="14"/>
  <c r="G78" i="14" s="1"/>
  <c r="E79" i="14"/>
  <c r="G79" i="14"/>
  <c r="E80" i="14"/>
  <c r="G80" i="14" s="1"/>
  <c r="F19" i="14"/>
  <c r="H19" i="14"/>
  <c r="F21" i="14"/>
  <c r="H21" i="14" s="1"/>
  <c r="F22" i="14"/>
  <c r="H22" i="14"/>
  <c r="F25" i="14"/>
  <c r="H25" i="14" s="1"/>
  <c r="F27" i="14"/>
  <c r="H27" i="14"/>
  <c r="F28" i="14"/>
  <c r="H28" i="14" s="1"/>
  <c r="F31" i="14"/>
  <c r="H31" i="14"/>
  <c r="F32" i="14"/>
  <c r="H32" i="14" s="1"/>
  <c r="F33" i="14"/>
  <c r="H33" i="14"/>
  <c r="F38" i="14"/>
  <c r="H38" i="14" s="1"/>
  <c r="F55" i="14"/>
  <c r="H55" i="14"/>
  <c r="F57" i="14"/>
  <c r="H57" i="14" s="1"/>
  <c r="F60" i="14"/>
  <c r="H60" i="14"/>
  <c r="F61" i="14"/>
  <c r="H61" i="14" s="1"/>
  <c r="F63" i="14"/>
  <c r="H63" i="14"/>
  <c r="F64" i="14"/>
  <c r="H64" i="14" s="1"/>
  <c r="F65" i="14"/>
  <c r="H65" i="14"/>
  <c r="F67" i="14"/>
  <c r="H67" i="14" s="1"/>
  <c r="C18" i="14"/>
  <c r="C19" i="14"/>
  <c r="C20" i="14"/>
  <c r="C21" i="14" s="1"/>
  <c r="C22" i="14" s="1"/>
  <c r="C23" i="14" s="1"/>
  <c r="C24" i="14"/>
  <c r="C25" i="14" s="1"/>
  <c r="C26" i="14" s="1"/>
  <c r="C27" i="14" s="1"/>
  <c r="C28" i="14" s="1"/>
  <c r="C29" i="14" s="1"/>
  <c r="C30" i="14" s="1"/>
  <c r="C31" i="14" s="1"/>
  <c r="C32" i="14" s="1"/>
  <c r="C33" i="14" s="1"/>
  <c r="C34" i="14" s="1"/>
  <c r="C35" i="14" s="1"/>
  <c r="C36" i="14" s="1"/>
  <c r="C37" i="14" s="1"/>
  <c r="C38" i="14" s="1"/>
  <c r="C39" i="14" s="1"/>
  <c r="C40" i="14" s="1"/>
  <c r="C41" i="14" s="1"/>
  <c r="C42" i="14" s="1"/>
  <c r="C43" i="14" s="1"/>
  <c r="C44" i="14" s="1"/>
  <c r="C45" i="14" s="1"/>
  <c r="C46" i="14" s="1"/>
  <c r="C47" i="14" s="1"/>
  <c r="C48" i="14" s="1"/>
  <c r="C49" i="14" s="1"/>
  <c r="C50" i="14" s="1"/>
  <c r="C51" i="14" s="1"/>
  <c r="C52" i="14" s="1"/>
  <c r="C53" i="14" s="1"/>
  <c r="C54" i="14" s="1"/>
  <c r="C55" i="14" s="1"/>
  <c r="C56" i="14" s="1"/>
  <c r="C57" i="14" s="1"/>
  <c r="C58" i="14" s="1"/>
  <c r="C59" i="14" s="1"/>
  <c r="C60" i="14" s="1"/>
  <c r="C61" i="14" s="1"/>
  <c r="C62" i="14" s="1"/>
  <c r="C63" i="14" s="1"/>
  <c r="C64" i="14" s="1"/>
  <c r="C65" i="14" s="1"/>
  <c r="C66" i="14" s="1"/>
  <c r="C67" i="14" s="1"/>
  <c r="C68" i="14" s="1"/>
  <c r="C69" i="14" s="1"/>
  <c r="C70" i="14" s="1"/>
  <c r="C71" i="14" s="1"/>
  <c r="C72" i="14" s="1"/>
  <c r="C73" i="14" s="1"/>
  <c r="C74" i="14" s="1"/>
  <c r="C75" i="14" s="1"/>
  <c r="C76" i="14" s="1"/>
  <c r="C77" i="14" s="1"/>
  <c r="C78" i="14" s="1"/>
  <c r="C79" i="14" s="1"/>
  <c r="C80" i="14" s="1"/>
  <c r="M21" i="13"/>
  <c r="N21" i="13"/>
  <c r="O21" i="13"/>
  <c r="M6" i="13"/>
  <c r="N6" i="13" s="1"/>
  <c r="O6" i="13" s="1"/>
  <c r="M7" i="13"/>
  <c r="N7" i="13" s="1"/>
  <c r="O7" i="13" s="1"/>
  <c r="M8" i="13"/>
  <c r="N8" i="13" s="1"/>
  <c r="O8" i="13" s="1"/>
  <c r="M9" i="13"/>
  <c r="N9" i="13" s="1"/>
  <c r="O9" i="13" s="1"/>
  <c r="M10" i="13"/>
  <c r="N10" i="13" s="1"/>
  <c r="O10" i="13" s="1"/>
  <c r="M11" i="13"/>
  <c r="N11" i="13" s="1"/>
  <c r="O11" i="13" s="1"/>
  <c r="M12" i="13"/>
  <c r="N12" i="13" s="1"/>
  <c r="O12" i="13" s="1"/>
  <c r="M13" i="13"/>
  <c r="N13" i="13" s="1"/>
  <c r="O13" i="13" s="1"/>
  <c r="M14" i="13"/>
  <c r="N14" i="13" s="1"/>
  <c r="O14" i="13" s="1"/>
  <c r="M15" i="13"/>
  <c r="N15" i="13" s="1"/>
  <c r="O15" i="13" s="1"/>
  <c r="M16" i="13"/>
  <c r="N16" i="13" s="1"/>
  <c r="O16" i="13" s="1"/>
  <c r="M17" i="13"/>
  <c r="N17" i="13" s="1"/>
  <c r="O17" i="13" s="1"/>
  <c r="M18" i="13"/>
  <c r="N18" i="13" s="1"/>
  <c r="O18" i="13" s="1"/>
  <c r="M19" i="13"/>
  <c r="N19" i="13" s="1"/>
  <c r="O19" i="13" s="1"/>
  <c r="M20" i="13"/>
  <c r="N20" i="13"/>
  <c r="O20" i="13" s="1"/>
  <c r="M5" i="13"/>
  <c r="N5" i="13" s="1"/>
  <c r="O5" i="13" s="1"/>
  <c r="M4" i="13"/>
  <c r="N4" i="13" s="1"/>
  <c r="O4" i="13" s="1"/>
  <c r="M1" i="13"/>
  <c r="I20" i="13"/>
  <c r="J20" i="13" s="1"/>
  <c r="K20" i="13" s="1"/>
  <c r="Q1" i="13"/>
  <c r="J21" i="13"/>
  <c r="K21" i="13"/>
  <c r="Y1" i="13"/>
  <c r="U1" i="13"/>
  <c r="J24" i="13"/>
  <c r="D24" i="13"/>
  <c r="A25" i="13"/>
  <c r="F21" i="13"/>
  <c r="G21" i="13"/>
  <c r="F20" i="13"/>
  <c r="G20" i="13" s="1"/>
  <c r="F5" i="13"/>
  <c r="G5" i="13"/>
  <c r="F6" i="13"/>
  <c r="G6" i="13" s="1"/>
  <c r="F7" i="13"/>
  <c r="G7" i="13"/>
  <c r="F8" i="13"/>
  <c r="G8" i="13" s="1"/>
  <c r="F9" i="13"/>
  <c r="G9" i="13"/>
  <c r="F10" i="13"/>
  <c r="G10" i="13" s="1"/>
  <c r="F11" i="13"/>
  <c r="G11" i="13"/>
  <c r="F12" i="13"/>
  <c r="G12" i="13" s="1"/>
  <c r="F13" i="13"/>
  <c r="G13" i="13"/>
  <c r="F14" i="13"/>
  <c r="G14" i="13" s="1"/>
  <c r="F15" i="13"/>
  <c r="G15" i="13"/>
  <c r="F16" i="13"/>
  <c r="G16" i="13" s="1"/>
  <c r="F17" i="13"/>
  <c r="G17" i="13"/>
  <c r="F18" i="13"/>
  <c r="G18" i="13" s="1"/>
  <c r="F19" i="13"/>
  <c r="G19" i="13"/>
  <c r="F4" i="13"/>
  <c r="G4" i="13" s="1"/>
  <c r="C3" i="14" s="1"/>
  <c r="J4" i="13"/>
  <c r="K4" i="13" s="1"/>
  <c r="R4" i="13"/>
  <c r="S4" i="13" s="1"/>
  <c r="V4" i="13"/>
  <c r="W4" i="13" s="1"/>
  <c r="AC4" i="13"/>
  <c r="AG4" i="13" s="1"/>
  <c r="J5" i="13"/>
  <c r="K5" i="13" s="1"/>
  <c r="R5" i="13"/>
  <c r="S5" i="13" s="1"/>
  <c r="V5" i="13"/>
  <c r="W5" i="13" s="1"/>
  <c r="AC5" i="13"/>
  <c r="AG5" i="13" s="1"/>
  <c r="J6" i="13"/>
  <c r="K6" i="13" s="1"/>
  <c r="R6" i="13"/>
  <c r="S6" i="13" s="1"/>
  <c r="V6" i="13"/>
  <c r="W6" i="13" s="1"/>
  <c r="AC6" i="13"/>
  <c r="AG6" i="13" s="1"/>
  <c r="J7" i="13"/>
  <c r="AF7" i="13" s="1"/>
  <c r="R7" i="13"/>
  <c r="S7" i="13" s="1"/>
  <c r="V7" i="13"/>
  <c r="W7" i="13" s="1"/>
  <c r="AC7" i="13"/>
  <c r="AG7" i="13" s="1"/>
  <c r="J8" i="13"/>
  <c r="AF8" i="13" s="1"/>
  <c r="R8" i="13"/>
  <c r="S8" i="13" s="1"/>
  <c r="V8" i="13"/>
  <c r="W8" i="13" s="1"/>
  <c r="AC8" i="13"/>
  <c r="AG8" i="13" s="1"/>
  <c r="J9" i="13"/>
  <c r="K9" i="13" s="1"/>
  <c r="R9" i="13"/>
  <c r="S9" i="13" s="1"/>
  <c r="V9" i="13"/>
  <c r="W9" i="13" s="1"/>
  <c r="AC9" i="13"/>
  <c r="AG9" i="13" s="1"/>
  <c r="J10" i="13"/>
  <c r="K10" i="13" s="1"/>
  <c r="R10" i="13"/>
  <c r="S10" i="13" s="1"/>
  <c r="V10" i="13"/>
  <c r="W10" i="13" s="1"/>
  <c r="AC10" i="13"/>
  <c r="AG10" i="13" s="1"/>
  <c r="J11" i="13"/>
  <c r="K11" i="13" s="1"/>
  <c r="R11" i="13"/>
  <c r="S11" i="13" s="1"/>
  <c r="V11" i="13"/>
  <c r="W11" i="13" s="1"/>
  <c r="AC11" i="13"/>
  <c r="AG11" i="13" s="1"/>
  <c r="J12" i="13"/>
  <c r="AF12" i="13" s="1"/>
  <c r="R12" i="13"/>
  <c r="S12" i="13" s="1"/>
  <c r="V12" i="13"/>
  <c r="W12" i="13" s="1"/>
  <c r="AC12" i="13"/>
  <c r="AG12" i="13" s="1"/>
  <c r="J13" i="13"/>
  <c r="K13" i="13" s="1"/>
  <c r="R13" i="13"/>
  <c r="S13" i="13" s="1"/>
  <c r="V13" i="13"/>
  <c r="W13" i="13" s="1"/>
  <c r="AC13" i="13"/>
  <c r="AG13" i="13" s="1"/>
  <c r="J14" i="13"/>
  <c r="AF14" i="13" s="1"/>
  <c r="R14" i="13"/>
  <c r="S14" i="13" s="1"/>
  <c r="V14" i="13"/>
  <c r="W14" i="13" s="1"/>
  <c r="AC14" i="13"/>
  <c r="AG14" i="13" s="1"/>
  <c r="J15" i="13"/>
  <c r="AF15" i="13" s="1"/>
  <c r="R15" i="13"/>
  <c r="S15" i="13" s="1"/>
  <c r="V15" i="13"/>
  <c r="W15" i="13" s="1"/>
  <c r="AC15" i="13"/>
  <c r="AG15" i="13" s="1"/>
  <c r="J16" i="13"/>
  <c r="K16" i="13" s="1"/>
  <c r="R16" i="13"/>
  <c r="S16" i="13" s="1"/>
  <c r="V16" i="13"/>
  <c r="W16" i="13" s="1"/>
  <c r="AC16" i="13"/>
  <c r="AG16" i="13" s="1"/>
  <c r="J17" i="13"/>
  <c r="K17" i="13" s="1"/>
  <c r="R17" i="13"/>
  <c r="S17" i="13" s="1"/>
  <c r="V17" i="13"/>
  <c r="W17" i="13" s="1"/>
  <c r="AC17" i="13"/>
  <c r="AG17" i="13" s="1"/>
  <c r="J18" i="13"/>
  <c r="K18" i="13" s="1"/>
  <c r="R18" i="13"/>
  <c r="S18" i="13" s="1"/>
  <c r="V18" i="13"/>
  <c r="W18" i="13" s="1"/>
  <c r="AC18" i="13"/>
  <c r="AG18" i="13" s="1"/>
  <c r="J19" i="13"/>
  <c r="AF19" i="13" s="1"/>
  <c r="R19" i="13"/>
  <c r="S19" i="13" s="1"/>
  <c r="V19" i="13"/>
  <c r="W19" i="13" s="1"/>
  <c r="AC19" i="13"/>
  <c r="AG19" i="13" s="1"/>
  <c r="R20" i="13"/>
  <c r="S20" i="13"/>
  <c r="V20" i="13"/>
  <c r="W20" i="13"/>
  <c r="AC20" i="13"/>
  <c r="AG20" i="13"/>
  <c r="R21" i="13"/>
  <c r="S21" i="13"/>
  <c r="V21" i="13"/>
  <c r="W21" i="13"/>
  <c r="AC21" i="13"/>
  <c r="AF20" i="13"/>
  <c r="AF21" i="13"/>
  <c r="C7" i="14"/>
  <c r="C8" i="14"/>
  <c r="C9" i="14"/>
  <c r="D25" i="13"/>
  <c r="C10" i="14" l="1"/>
  <c r="D9" i="14"/>
  <c r="D8" i="14"/>
  <c r="D10" i="14" s="1"/>
  <c r="AF10" i="13"/>
  <c r="AF16" i="13"/>
  <c r="AF17" i="13"/>
  <c r="C4" i="14"/>
  <c r="K8" i="13"/>
  <c r="K19" i="13"/>
  <c r="AF18" i="13"/>
  <c r="AF13" i="13"/>
  <c r="AF4" i="13"/>
  <c r="AF5" i="13"/>
  <c r="K15" i="13"/>
  <c r="AF6" i="13"/>
  <c r="K12" i="13"/>
  <c r="AF11" i="13"/>
  <c r="AF9" i="13"/>
  <c r="H21" i="13"/>
  <c r="G25" i="13" s="1"/>
  <c r="K14" i="13"/>
  <c r="K7" i="13"/>
  <c r="AF1" i="13" l="1"/>
  <c r="D1" i="13"/>
  <c r="D1" i="14"/>
  <c r="I25" i="13"/>
  <c r="AI15" i="13" l="1"/>
  <c r="AI13" i="13"/>
  <c r="AI7" i="13"/>
  <c r="AI11" i="13"/>
  <c r="AI19" i="13"/>
  <c r="AI21" i="13"/>
  <c r="AI20" i="13"/>
  <c r="AI16" i="13"/>
  <c r="AI4" i="13"/>
  <c r="AI18" i="13"/>
  <c r="AI17" i="13"/>
  <c r="AI8" i="13"/>
  <c r="AI9" i="13"/>
  <c r="AI10" i="13"/>
  <c r="AI5" i="13"/>
  <c r="AI14" i="13"/>
  <c r="AI12" i="13"/>
  <c r="AI6" i="13"/>
  <c r="I1" i="13"/>
  <c r="J1" i="13"/>
  <c r="C2" i="14"/>
  <c r="D2" i="14" s="1"/>
  <c r="I24" i="13"/>
  <c r="J25" i="13"/>
  <c r="D4" i="14"/>
  <c r="D3" i="14"/>
</calcChain>
</file>

<file path=xl/sharedStrings.xml><?xml version="1.0" encoding="utf-8"?>
<sst xmlns="http://schemas.openxmlformats.org/spreadsheetml/2006/main" count="150" uniqueCount="90">
  <si>
    <t>REF</t>
  </si>
  <si>
    <t>WWW</t>
  </si>
  <si>
    <t>FR0000014292</t>
  </si>
  <si>
    <t>Moneta Multi Caps C</t>
  </si>
  <si>
    <t>FR0010298596</t>
  </si>
  <si>
    <t>GB00B1VMCY93</t>
  </si>
  <si>
    <t>LU0227384020</t>
  </si>
  <si>
    <t>FR0010187898</t>
  </si>
  <si>
    <t>FR0007027404</t>
  </si>
  <si>
    <t>FR0010035592</t>
  </si>
  <si>
    <t>FR0011445378</t>
  </si>
  <si>
    <t>FR0011600410</t>
  </si>
  <si>
    <t>Nbre</t>
  </si>
  <si>
    <t>LU0935229400</t>
  </si>
  <si>
    <t>AVIVA Patrimoine Immobilier</t>
  </si>
  <si>
    <t>LU1207761260</t>
  </si>
  <si>
    <t>M&amp;G Optimal Income Fd AH Eur acc</t>
  </si>
  <si>
    <t>Natixis Seeyond Eur Minvar R/A c</t>
  </si>
  <si>
    <t>Nordea 1 - Stable Return BP Eur</t>
  </si>
  <si>
    <t>R Conviction Euro C Eur</t>
  </si>
  <si>
    <t>R Opal Absolu</t>
  </si>
  <si>
    <t>R Opal Biens Reels C</t>
  </si>
  <si>
    <t>R Opal Emergents C Eur</t>
  </si>
  <si>
    <t>Natixis Actions US Growth R Eur</t>
  </si>
  <si>
    <t>31/12/16</t>
  </si>
  <si>
    <t>31/12/17</t>
  </si>
  <si>
    <t>31/12/18</t>
  </si>
  <si>
    <t>Derniers Cours</t>
  </si>
  <si>
    <t>Var. €uros</t>
  </si>
  <si>
    <t>AVIVA Actif Garanti</t>
  </si>
  <si>
    <t>AVIVA i-Multi Str Target</t>
  </si>
  <si>
    <t>AVIVA Convertibles A</t>
  </si>
  <si>
    <t>AVIVA Monetaire ISR A</t>
  </si>
  <si>
    <t>FR0007437546</t>
  </si>
  <si>
    <t>LU1438969518</t>
  </si>
  <si>
    <t xml:space="preserve">T. Rowe Price US Equity A EUR </t>
  </si>
  <si>
    <t>Var. €uros 2017</t>
  </si>
  <si>
    <t>Var. €uros 2018</t>
  </si>
  <si>
    <t>Var. €uros 2019</t>
  </si>
  <si>
    <t>https://www.boursorama.com/bourse/opcvm/cours/0P00018DYB/</t>
  </si>
  <si>
    <t>https://www.boursorama.com/bourse/opcvm/cours/0P00013YF0/</t>
  </si>
  <si>
    <t>https://www.boursorama.com/bourse/opcvm/cours/0P0000YAD1/</t>
  </si>
  <si>
    <t>https://www.boursorama.com/bourse/opcvm/cours/MP-807388/</t>
  </si>
  <si>
    <t>https://www.boursorama.com/bourse/opcvm/cours/MP-803544/</t>
  </si>
  <si>
    <t>https://www.boursorama.com/bourse/opcvm/cours/MP-806533/</t>
  </si>
  <si>
    <t>https://www.boursorama.com/bourse/opcvm/cours/MP-119964/</t>
  </si>
  <si>
    <t>https://www.boursorama.com/bourse/opcvm/cours/0P000111GL/</t>
  </si>
  <si>
    <t>https://www.boursorama.com/bourse/opcvm/cours/MP-228322/</t>
  </si>
  <si>
    <t>https://www.boursorama.com/bourse/opcvm/cours/MP-807288/</t>
  </si>
  <si>
    <t>https://www.boursorama.com/bourse/opcvm/cours/MP-802757/</t>
  </si>
  <si>
    <t>https://www.boursorama.com/bourse/opcvm/cours/MP-828069/</t>
  </si>
  <si>
    <t>https://www.boursorama.com/bourse/opcvm/cours/0P00015MBL/</t>
  </si>
  <si>
    <t>FR0011024298</t>
  </si>
  <si>
    <t>Phileas LS Europe R</t>
  </si>
  <si>
    <t>https://www.boursorama.com/bourse/opcvm/cours/0P0000SSLI/</t>
  </si>
  <si>
    <t>Nbre de Parts</t>
  </si>
  <si>
    <t>S/O</t>
  </si>
  <si>
    <t>31/12/19</t>
  </si>
  <si>
    <t>Var. €uros 2016</t>
  </si>
  <si>
    <t>IE00BD1DJ122</t>
  </si>
  <si>
    <t>https://www.boursorama.com/bourse/opcvm/cours/0P00019C2A/</t>
  </si>
  <si>
    <t>Comgest Growth Japan Eur Acc Clas</t>
  </si>
  <si>
    <t>FR0000981458</t>
  </si>
  <si>
    <t>https://www.boursorama.com/bourse/opcvm/cours/MP-803531/</t>
  </si>
  <si>
    <t>Statut</t>
  </si>
  <si>
    <t>Date</t>
  </si>
  <si>
    <t>Nom</t>
  </si>
  <si>
    <t>Versement Libre</t>
  </si>
  <si>
    <t>Catégorie</t>
  </si>
  <si>
    <t>Versement Initial</t>
  </si>
  <si>
    <t>Prog</t>
  </si>
  <si>
    <t>Libre</t>
  </si>
  <si>
    <t>NB Prog</t>
  </si>
  <si>
    <t>NB Libre</t>
  </si>
  <si>
    <t>Versement Programmé</t>
  </si>
  <si>
    <t>Rép.      En %</t>
  </si>
  <si>
    <t>En % à J</t>
  </si>
  <si>
    <t>En % 2017 à J</t>
  </si>
  <si>
    <t>En % 2018 à J</t>
  </si>
  <si>
    <t>En % 2016 à J</t>
  </si>
  <si>
    <t>En % 2019 à J</t>
  </si>
  <si>
    <t>Soit Evol 2016 à J</t>
  </si>
  <si>
    <t>Var.         J - 1</t>
  </si>
  <si>
    <t>Total général</t>
  </si>
  <si>
    <t>Type Vst</t>
  </si>
  <si>
    <t>Montant</t>
  </si>
  <si>
    <t>V. Initial</t>
  </si>
  <si>
    <t>V. Libre</t>
  </si>
  <si>
    <t>V. Programmé</t>
  </si>
  <si>
    <t>R Opal Equilibre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</si>
</sst>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164" formatCode="0.00000_ ;[Red]\-0.00000\ "/>
    <numFmt numFmtId="165" formatCode="0.0000"/>
    <numFmt numFmtId="166" formatCode="#,##0.00_ ;[Red]\-#,##0.00\ "/>
    <numFmt numFmtId="167" formatCode="[$-40C]d\-mmm;@"/>
    <numFmt numFmtId="168" formatCode="0&quot; Type&quot;"/>
    <numFmt numFmtId="169" formatCode="#,##0.0000_ ;[Red]\-#,##0.0000\ "/>
    <numFmt numFmtId="170" formatCode="dd\ mmm\ yyyy\ hh:mm"/>
    <numFmt numFmtId="171" formatCode="#,##0.00&quot; € En compte à J&quot;"/>
    <numFmt numFmtId="172" formatCode="0&quot; Vst Programmé&quot;"/>
    <numFmt numFmtId="173" formatCode="0&quot; Vst Libre&quot;"/>
    <numFmt numFmtId="174" formatCode="0&quot; Vst Initial&quot;"/>
    <numFmt numFmtId="175" formatCode="#,##0.00&quot; € à J&quot;"/>
    <numFmt numFmtId="176" formatCode="0.00%&quot; Gest. Libre&quot;"/>
    <numFmt numFmtId="177" formatCode="0.00%&quot; Gest. sous Mandat&quot;"/>
    <numFmt numFmtId="178" formatCode="0&quot; Versements&quot;"/>
    <numFmt numFmtId="179" formatCode="0.00%&quot; Aviva Epargne  Pluriel&quot;"/>
  </numFmts>
  <fonts count="3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Tahoma"/>
      <family val="2"/>
    </font>
    <font>
      <sz val="10"/>
      <name val="Tahoma"/>
      <family val="2"/>
    </font>
    <font>
      <u/>
      <sz val="21.5"/>
      <color theme="10"/>
      <name val="Tahoma"/>
      <family val="2"/>
    </font>
    <font>
      <b/>
      <sz val="10"/>
      <color rgb="FFFFFF00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Calibri"/>
      <family val="2"/>
    </font>
    <font>
      <b/>
      <sz val="10"/>
      <color theme="0"/>
      <name val="Arial Narrow"/>
      <family val="2"/>
    </font>
    <font>
      <sz val="10"/>
      <color rgb="FF333333"/>
      <name val="Arial Narrow"/>
      <family val="2"/>
    </font>
    <font>
      <b/>
      <i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theme="0"/>
      <name val="Arial Narrow"/>
      <family val="2"/>
    </font>
    <font>
      <sz val="10"/>
      <name val="Calibri"/>
      <family val="2"/>
    </font>
    <font>
      <i/>
      <sz val="10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0"/>
      <name val="Arial Narrow"/>
      <family val="2"/>
    </font>
    <font>
      <b/>
      <sz val="14"/>
      <color theme="0"/>
      <name val="Arial Narrow"/>
      <family val="2"/>
    </font>
    <font>
      <b/>
      <i/>
      <sz val="14"/>
      <color rgb="FFFFFF00"/>
      <name val="Arial Narrow"/>
      <family val="2"/>
    </font>
    <font>
      <sz val="14"/>
      <color theme="1"/>
      <name val="Calibri"/>
      <family val="2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0"/>
      <name val="Arial Narrow"/>
      <family val="2"/>
    </font>
    <font>
      <b/>
      <sz val="13"/>
      <color indexed="13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i/>
      <sz val="11"/>
      <color theme="0"/>
      <name val="Arial Narrow"/>
      <family val="2"/>
    </font>
    <font>
      <b/>
      <sz val="14"/>
      <color theme="1"/>
      <name val="Calibri"/>
      <family val="2"/>
    </font>
    <font>
      <b/>
      <i/>
      <sz val="14"/>
      <color theme="0"/>
      <name val="Arial Narrow"/>
      <family val="2"/>
    </font>
    <font>
      <b/>
      <i/>
      <sz val="14"/>
      <color theme="1"/>
      <name val="Arial Narrow"/>
      <family val="2"/>
    </font>
    <font>
      <b/>
      <sz val="14"/>
      <name val="Arial Narrow"/>
      <family val="2"/>
    </font>
    <font>
      <b/>
      <sz val="14"/>
      <color theme="0"/>
      <name val="Arial Narrow"/>
    </font>
    <font>
      <sz val="14"/>
      <color theme="0"/>
      <name val="Arial Narrow"/>
    </font>
    <font>
      <b/>
      <i/>
      <sz val="14"/>
      <color theme="1"/>
      <name val="Arial Narrow"/>
    </font>
  </fonts>
  <fills count="1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8FBFC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1" fillId="0" borderId="0" applyNumberFormat="0" applyFill="0" applyBorder="0" applyAlignment="0" applyProtection="0"/>
    <xf numFmtId="0" fontId="4" fillId="0" borderId="0" applyAlignment="0"/>
    <xf numFmtId="0" fontId="5" fillId="0" borderId="0" applyAlignment="0"/>
    <xf numFmtId="0" fontId="6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</cellStyleXfs>
  <cellXfs count="195">
    <xf numFmtId="0" fontId="0" fillId="0" borderId="0" xfId="0"/>
    <xf numFmtId="0" fontId="10" fillId="0" borderId="0" xfId="0" applyFont="1"/>
    <xf numFmtId="8" fontId="10" fillId="0" borderId="0" xfId="0" applyNumberFormat="1" applyFont="1"/>
    <xf numFmtId="0" fontId="3" fillId="0" borderId="0" xfId="0" applyFont="1"/>
    <xf numFmtId="8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164" fontId="3" fillId="0" borderId="0" xfId="0" applyNumberFormat="1" applyFont="1"/>
    <xf numFmtId="164" fontId="9" fillId="0" borderId="0" xfId="0" applyNumberFormat="1" applyFont="1" applyAlignment="1">
      <alignment horizontal="center" vertical="center"/>
    </xf>
    <xf numFmtId="166" fontId="9" fillId="8" borderId="0" xfId="0" applyNumberFormat="1" applyFont="1" applyFill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165" fontId="8" fillId="7" borderId="10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49" fontId="12" fillId="0" borderId="0" xfId="0" applyNumberFormat="1" applyFont="1" applyAlignment="1">
      <alignment horizontal="left" vertical="center"/>
    </xf>
    <xf numFmtId="165" fontId="8" fillId="7" borderId="9" xfId="0" applyNumberFormat="1" applyFont="1" applyFill="1" applyBorder="1" applyAlignment="1">
      <alignment vertical="center"/>
    </xf>
    <xf numFmtId="166" fontId="9" fillId="9" borderId="0" xfId="0" applyNumberFormat="1" applyFont="1" applyFill="1" applyAlignment="1">
      <alignment vertical="center"/>
    </xf>
    <xf numFmtId="166" fontId="9" fillId="6" borderId="0" xfId="0" applyNumberFormat="1" applyFont="1" applyFill="1" applyAlignment="1">
      <alignment vertical="center"/>
    </xf>
    <xf numFmtId="166" fontId="3" fillId="0" borderId="0" xfId="0" applyNumberFormat="1" applyFont="1" applyAlignment="1">
      <alignment vertical="center"/>
    </xf>
    <xf numFmtId="166" fontId="16" fillId="4" borderId="0" xfId="0" applyNumberFormat="1" applyFont="1" applyFill="1" applyAlignment="1">
      <alignment vertical="center"/>
    </xf>
    <xf numFmtId="165" fontId="8" fillId="7" borderId="8" xfId="0" applyNumberFormat="1" applyFont="1" applyFill="1" applyBorder="1" applyAlignment="1">
      <alignment vertical="center"/>
    </xf>
    <xf numFmtId="8" fontId="15" fillId="0" borderId="0" xfId="0" applyNumberFormat="1" applyFont="1" applyAlignment="1">
      <alignment vertical="center"/>
    </xf>
    <xf numFmtId="8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164" fontId="10" fillId="0" borderId="0" xfId="0" applyNumberFormat="1" applyFont="1"/>
    <xf numFmtId="0" fontId="10" fillId="0" borderId="0" xfId="0" applyFont="1" applyAlignment="1">
      <alignment vertical="center"/>
    </xf>
    <xf numFmtId="10" fontId="3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8" fontId="13" fillId="0" borderId="0" xfId="0" applyNumberFormat="1" applyFont="1"/>
    <xf numFmtId="10" fontId="9" fillId="0" borderId="0" xfId="0" applyNumberFormat="1" applyFont="1" applyAlignment="1">
      <alignment horizontal="right" vertical="center"/>
    </xf>
    <xf numFmtId="166" fontId="9" fillId="5" borderId="0" xfId="0" applyNumberFormat="1" applyFont="1" applyFill="1" applyAlignment="1">
      <alignment vertical="center"/>
    </xf>
    <xf numFmtId="169" fontId="7" fillId="3" borderId="3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4" fillId="0" borderId="0" xfId="1" applyFont="1"/>
    <xf numFmtId="49" fontId="12" fillId="10" borderId="0" xfId="0" applyNumberFormat="1" applyFont="1" applyFill="1" applyAlignment="1">
      <alignment horizontal="left" vertical="center"/>
    </xf>
    <xf numFmtId="0" fontId="19" fillId="0" borderId="0" xfId="0" applyFont="1" applyAlignment="1">
      <alignment horizontal="center" vertical="center"/>
    </xf>
    <xf numFmtId="166" fontId="19" fillId="0" borderId="0" xfId="0" applyNumberFormat="1" applyFont="1" applyAlignment="1">
      <alignment horizontal="center" vertical="center"/>
    </xf>
    <xf numFmtId="14" fontId="18" fillId="0" borderId="0" xfId="0" applyNumberFormat="1" applyFont="1" applyAlignment="1">
      <alignment vertical="center"/>
    </xf>
    <xf numFmtId="166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166" fontId="20" fillId="0" borderId="0" xfId="0" applyNumberFormat="1" applyFont="1" applyAlignment="1">
      <alignment vertical="center"/>
    </xf>
    <xf numFmtId="7" fontId="21" fillId="2" borderId="0" xfId="0" applyNumberFormat="1" applyFont="1" applyFill="1" applyAlignment="1">
      <alignment horizontal="center" vertical="center"/>
    </xf>
    <xf numFmtId="7" fontId="22" fillId="2" borderId="0" xfId="0" applyNumberFormat="1" applyFont="1" applyFill="1" applyAlignment="1">
      <alignment vertical="center"/>
    </xf>
    <xf numFmtId="174" fontId="22" fillId="2" borderId="0" xfId="0" applyNumberFormat="1" applyFont="1" applyFill="1" applyAlignment="1">
      <alignment horizontal="center" vertical="center"/>
    </xf>
    <xf numFmtId="171" fontId="21" fillId="0" borderId="0" xfId="0" applyNumberFormat="1" applyFont="1" applyAlignment="1">
      <alignment horizontal="center"/>
    </xf>
    <xf numFmtId="0" fontId="23" fillId="0" borderId="0" xfId="0" applyFont="1"/>
    <xf numFmtId="168" fontId="28" fillId="3" borderId="7" xfId="5" applyNumberFormat="1" applyFont="1" applyFill="1" applyBorder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6" fontId="24" fillId="2" borderId="5" xfId="0" applyNumberFormat="1" applyFont="1" applyFill="1" applyBorder="1" applyAlignment="1">
      <alignment horizontal="right" vertical="center"/>
    </xf>
    <xf numFmtId="8" fontId="27" fillId="2" borderId="4" xfId="0" applyNumberFormat="1" applyFont="1" applyFill="1" applyBorder="1" applyAlignment="1">
      <alignment horizontal="center" vertical="center"/>
    </xf>
    <xf numFmtId="167" fontId="27" fillId="2" borderId="11" xfId="0" applyNumberFormat="1" applyFont="1" applyFill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8" fontId="27" fillId="2" borderId="12" xfId="0" applyNumberFormat="1" applyFont="1" applyFill="1" applyBorder="1" applyAlignment="1">
      <alignment horizontal="center" vertical="center"/>
    </xf>
    <xf numFmtId="8" fontId="27" fillId="2" borderId="13" xfId="0" applyNumberFormat="1" applyFont="1" applyFill="1" applyBorder="1" applyAlignment="1">
      <alignment horizontal="center" vertical="center"/>
    </xf>
    <xf numFmtId="7" fontId="31" fillId="2" borderId="0" xfId="0" applyNumberFormat="1" applyFont="1" applyFill="1" applyAlignment="1">
      <alignment vertical="center"/>
    </xf>
    <xf numFmtId="0" fontId="32" fillId="0" borderId="0" xfId="0" applyFont="1"/>
    <xf numFmtId="0" fontId="9" fillId="0" borderId="0" xfId="0" applyFont="1"/>
    <xf numFmtId="0" fontId="9" fillId="0" borderId="1" xfId="0" applyFont="1" applyBorder="1" applyAlignment="1">
      <alignment horizontal="center" vertical="center" wrapText="1"/>
    </xf>
    <xf numFmtId="166" fontId="9" fillId="0" borderId="11" xfId="0" applyNumberFormat="1" applyFont="1" applyBorder="1" applyAlignment="1">
      <alignment horizontal="right" vertical="center"/>
    </xf>
    <xf numFmtId="10" fontId="9" fillId="0" borderId="13" xfId="0" applyNumberFormat="1" applyFont="1" applyBorder="1" applyAlignment="1">
      <alignment horizontal="right" vertical="center"/>
    </xf>
    <xf numFmtId="166" fontId="9" fillId="0" borderId="14" xfId="0" applyNumberFormat="1" applyFont="1" applyBorder="1" applyAlignment="1">
      <alignment horizontal="right" vertical="center"/>
    </xf>
    <xf numFmtId="10" fontId="9" fillId="0" borderId="6" xfId="0" applyNumberFormat="1" applyFont="1" applyBorder="1" applyAlignment="1">
      <alignment horizontal="right" vertical="center"/>
    </xf>
    <xf numFmtId="166" fontId="9" fillId="0" borderId="16" xfId="0" applyNumberFormat="1" applyFont="1" applyBorder="1" applyAlignment="1">
      <alignment horizontal="right" vertical="center"/>
    </xf>
    <xf numFmtId="10" fontId="9" fillId="0" borderId="5" xfId="0" applyNumberFormat="1" applyFont="1" applyBorder="1" applyAlignment="1">
      <alignment horizontal="right" vertical="center"/>
    </xf>
    <xf numFmtId="166" fontId="9" fillId="5" borderId="1" xfId="0" quotePrefix="1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166" fontId="9" fillId="5" borderId="11" xfId="0" applyNumberFormat="1" applyFont="1" applyFill="1" applyBorder="1" applyAlignment="1">
      <alignment vertical="center"/>
    </xf>
    <xf numFmtId="166" fontId="9" fillId="5" borderId="12" xfId="0" applyNumberFormat="1" applyFont="1" applyFill="1" applyBorder="1" applyAlignment="1">
      <alignment vertical="center"/>
    </xf>
    <xf numFmtId="10" fontId="9" fillId="5" borderId="13" xfId="0" applyNumberFormat="1" applyFont="1" applyFill="1" applyBorder="1" applyAlignment="1">
      <alignment vertical="center"/>
    </xf>
    <xf numFmtId="166" fontId="9" fillId="5" borderId="14" xfId="0" applyNumberFormat="1" applyFont="1" applyFill="1" applyBorder="1" applyAlignment="1">
      <alignment vertical="center"/>
    </xf>
    <xf numFmtId="10" fontId="9" fillId="5" borderId="6" xfId="0" applyNumberFormat="1" applyFont="1" applyFill="1" applyBorder="1" applyAlignment="1">
      <alignment vertical="center"/>
    </xf>
    <xf numFmtId="166" fontId="9" fillId="5" borderId="16" xfId="0" applyNumberFormat="1" applyFont="1" applyFill="1" applyBorder="1" applyAlignment="1">
      <alignment vertical="center"/>
    </xf>
    <xf numFmtId="166" fontId="9" fillId="5" borderId="17" xfId="0" applyNumberFormat="1" applyFont="1" applyFill="1" applyBorder="1" applyAlignment="1">
      <alignment vertical="center"/>
    </xf>
    <xf numFmtId="10" fontId="9" fillId="5" borderId="5" xfId="0" applyNumberFormat="1" applyFont="1" applyFill="1" applyBorder="1" applyAlignment="1">
      <alignment vertical="center"/>
    </xf>
    <xf numFmtId="166" fontId="9" fillId="9" borderId="1" xfId="0" quotePrefix="1" applyNumberFormat="1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 wrapText="1"/>
    </xf>
    <xf numFmtId="166" fontId="9" fillId="9" borderId="11" xfId="0" applyNumberFormat="1" applyFont="1" applyFill="1" applyBorder="1" applyAlignment="1">
      <alignment vertical="center"/>
    </xf>
    <xf numFmtId="166" fontId="9" fillId="9" borderId="12" xfId="0" applyNumberFormat="1" applyFont="1" applyFill="1" applyBorder="1" applyAlignment="1">
      <alignment vertical="center"/>
    </xf>
    <xf numFmtId="10" fontId="9" fillId="9" borderId="13" xfId="0" applyNumberFormat="1" applyFont="1" applyFill="1" applyBorder="1" applyAlignment="1">
      <alignment vertical="center"/>
    </xf>
    <xf numFmtId="166" fontId="9" fillId="9" borderId="14" xfId="0" applyNumberFormat="1" applyFont="1" applyFill="1" applyBorder="1" applyAlignment="1">
      <alignment vertical="center"/>
    </xf>
    <xf numFmtId="10" fontId="9" fillId="9" borderId="6" xfId="0" applyNumberFormat="1" applyFont="1" applyFill="1" applyBorder="1" applyAlignment="1">
      <alignment vertical="center"/>
    </xf>
    <xf numFmtId="169" fontId="9" fillId="9" borderId="14" xfId="0" applyNumberFormat="1" applyFont="1" applyFill="1" applyBorder="1" applyAlignment="1">
      <alignment vertical="center"/>
    </xf>
    <xf numFmtId="166" fontId="9" fillId="9" borderId="16" xfId="0" applyNumberFormat="1" applyFont="1" applyFill="1" applyBorder="1" applyAlignment="1">
      <alignment vertical="center"/>
    </xf>
    <xf numFmtId="166" fontId="9" fillId="9" borderId="17" xfId="0" applyNumberFormat="1" applyFont="1" applyFill="1" applyBorder="1" applyAlignment="1">
      <alignment vertical="center"/>
    </xf>
    <xf numFmtId="10" fontId="9" fillId="9" borderId="5" xfId="0" applyNumberFormat="1" applyFont="1" applyFill="1" applyBorder="1" applyAlignment="1">
      <alignment vertical="center"/>
    </xf>
    <xf numFmtId="166" fontId="9" fillId="6" borderId="1" xfId="0" quotePrefix="1" applyNumberFormat="1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166" fontId="9" fillId="6" borderId="11" xfId="0" applyNumberFormat="1" applyFont="1" applyFill="1" applyBorder="1" applyAlignment="1">
      <alignment horizontal="right" vertical="center"/>
    </xf>
    <xf numFmtId="166" fontId="9" fillId="6" borderId="12" xfId="0" applyNumberFormat="1" applyFont="1" applyFill="1" applyBorder="1" applyAlignment="1">
      <alignment vertical="center"/>
    </xf>
    <xf numFmtId="10" fontId="9" fillId="6" borderId="13" xfId="0" applyNumberFormat="1" applyFont="1" applyFill="1" applyBorder="1" applyAlignment="1">
      <alignment vertical="center"/>
    </xf>
    <xf numFmtId="166" fontId="9" fillId="6" borderId="14" xfId="0" applyNumberFormat="1" applyFont="1" applyFill="1" applyBorder="1" applyAlignment="1">
      <alignment horizontal="right" vertical="center"/>
    </xf>
    <xf numFmtId="10" fontId="9" fillId="6" borderId="6" xfId="0" applyNumberFormat="1" applyFont="1" applyFill="1" applyBorder="1" applyAlignment="1">
      <alignment vertical="center"/>
    </xf>
    <xf numFmtId="169" fontId="9" fillId="6" borderId="14" xfId="0" applyNumberFormat="1" applyFont="1" applyFill="1" applyBorder="1" applyAlignment="1">
      <alignment horizontal="right" vertical="center"/>
    </xf>
    <xf numFmtId="166" fontId="9" fillId="6" borderId="16" xfId="0" applyNumberFormat="1" applyFont="1" applyFill="1" applyBorder="1" applyAlignment="1">
      <alignment horizontal="right" vertical="center"/>
    </xf>
    <xf numFmtId="166" fontId="9" fillId="6" borderId="17" xfId="0" applyNumberFormat="1" applyFont="1" applyFill="1" applyBorder="1" applyAlignment="1">
      <alignment vertical="center"/>
    </xf>
    <xf numFmtId="10" fontId="9" fillId="6" borderId="5" xfId="0" applyNumberFormat="1" applyFont="1" applyFill="1" applyBorder="1" applyAlignment="1">
      <alignment vertical="center"/>
    </xf>
    <xf numFmtId="166" fontId="9" fillId="8" borderId="1" xfId="0" quotePrefix="1" applyNumberFormat="1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 wrapText="1"/>
    </xf>
    <xf numFmtId="166" fontId="9" fillId="8" borderId="11" xfId="0" applyNumberFormat="1" applyFont="1" applyFill="1" applyBorder="1" applyAlignment="1">
      <alignment horizontal="right" vertical="center"/>
    </xf>
    <xf numFmtId="166" fontId="9" fillId="8" borderId="12" xfId="0" applyNumberFormat="1" applyFont="1" applyFill="1" applyBorder="1" applyAlignment="1">
      <alignment horizontal="right" vertical="center"/>
    </xf>
    <xf numFmtId="10" fontId="9" fillId="8" borderId="13" xfId="0" applyNumberFormat="1" applyFont="1" applyFill="1" applyBorder="1" applyAlignment="1">
      <alignment horizontal="right" vertical="center"/>
    </xf>
    <xf numFmtId="166" fontId="9" fillId="8" borderId="14" xfId="0" applyNumberFormat="1" applyFont="1" applyFill="1" applyBorder="1" applyAlignment="1">
      <alignment horizontal="right" vertical="center"/>
    </xf>
    <xf numFmtId="10" fontId="9" fillId="8" borderId="6" xfId="0" applyNumberFormat="1" applyFont="1" applyFill="1" applyBorder="1" applyAlignment="1">
      <alignment horizontal="right" vertical="center"/>
    </xf>
    <xf numFmtId="169" fontId="9" fillId="8" borderId="14" xfId="0" applyNumberFormat="1" applyFont="1" applyFill="1" applyBorder="1" applyAlignment="1">
      <alignment horizontal="right" vertical="center"/>
    </xf>
    <xf numFmtId="166" fontId="9" fillId="8" borderId="16" xfId="0" applyNumberFormat="1" applyFont="1" applyFill="1" applyBorder="1" applyAlignment="1">
      <alignment horizontal="right" vertical="center"/>
    </xf>
    <xf numFmtId="166" fontId="9" fillId="8" borderId="17" xfId="0" applyNumberFormat="1" applyFont="1" applyFill="1" applyBorder="1" applyAlignment="1">
      <alignment horizontal="right" vertical="center"/>
    </xf>
    <xf numFmtId="10" fontId="9" fillId="8" borderId="5" xfId="0" applyNumberFormat="1" applyFont="1" applyFill="1" applyBorder="1" applyAlignment="1">
      <alignment horizontal="right" vertical="center"/>
    </xf>
    <xf numFmtId="166" fontId="9" fillId="0" borderId="11" xfId="0" applyNumberFormat="1" applyFont="1" applyBorder="1" applyAlignment="1">
      <alignment vertical="center"/>
    </xf>
    <xf numFmtId="166" fontId="9" fillId="0" borderId="14" xfId="0" applyNumberFormat="1" applyFont="1" applyBorder="1" applyAlignment="1">
      <alignment vertical="center"/>
    </xf>
    <xf numFmtId="166" fontId="9" fillId="0" borderId="16" xfId="0" applyNumberFormat="1" applyFont="1" applyBorder="1" applyAlignment="1">
      <alignment vertical="center"/>
    </xf>
    <xf numFmtId="0" fontId="9" fillId="11" borderId="15" xfId="0" applyFont="1" applyFill="1" applyBorder="1" applyAlignment="1">
      <alignment horizontal="center" vertical="center" wrapText="1"/>
    </xf>
    <xf numFmtId="10" fontId="9" fillId="11" borderId="4" xfId="0" applyNumberFormat="1" applyFont="1" applyFill="1" applyBorder="1" applyAlignment="1">
      <alignment horizontal="right" vertical="center"/>
    </xf>
    <xf numFmtId="10" fontId="9" fillId="11" borderId="18" xfId="0" applyNumberFormat="1" applyFont="1" applyFill="1" applyBorder="1" applyAlignment="1">
      <alignment horizontal="right" vertical="center"/>
    </xf>
    <xf numFmtId="10" fontId="9" fillId="11" borderId="19" xfId="0" applyNumberFormat="1" applyFont="1" applyFill="1" applyBorder="1" applyAlignment="1">
      <alignment horizontal="right" vertical="center"/>
    </xf>
    <xf numFmtId="0" fontId="9" fillId="12" borderId="1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wrapText="1"/>
    </xf>
    <xf numFmtId="166" fontId="9" fillId="12" borderId="11" xfId="0" applyNumberFormat="1" applyFont="1" applyFill="1" applyBorder="1" applyAlignment="1">
      <alignment vertical="center"/>
    </xf>
    <xf numFmtId="0" fontId="13" fillId="12" borderId="13" xfId="0" applyFont="1" applyFill="1" applyBorder="1" applyAlignment="1">
      <alignment horizontal="center" vertical="center"/>
    </xf>
    <xf numFmtId="166" fontId="9" fillId="12" borderId="14" xfId="0" applyNumberFormat="1" applyFont="1" applyFill="1" applyBorder="1" applyAlignment="1">
      <alignment vertical="center"/>
    </xf>
    <xf numFmtId="0" fontId="13" fillId="12" borderId="6" xfId="0" applyFont="1" applyFill="1" applyBorder="1" applyAlignment="1">
      <alignment horizontal="center" vertical="center"/>
    </xf>
    <xf numFmtId="166" fontId="9" fillId="12" borderId="16" xfId="0" applyNumberFormat="1" applyFont="1" applyFill="1" applyBorder="1" applyAlignment="1">
      <alignment vertical="center"/>
    </xf>
    <xf numFmtId="0" fontId="13" fillId="12" borderId="5" xfId="0" applyFont="1" applyFill="1" applyBorder="1" applyAlignment="1">
      <alignment horizontal="center" vertical="center"/>
    </xf>
    <xf numFmtId="166" fontId="9" fillId="12" borderId="15" xfId="0" applyNumberFormat="1" applyFont="1" applyFill="1" applyBorder="1" applyAlignment="1">
      <alignment horizontal="center" vertical="center"/>
    </xf>
    <xf numFmtId="10" fontId="9" fillId="5" borderId="4" xfId="0" applyNumberFormat="1" applyFont="1" applyFill="1" applyBorder="1"/>
    <xf numFmtId="10" fontId="9" fillId="5" borderId="18" xfId="0" applyNumberFormat="1" applyFont="1" applyFill="1" applyBorder="1"/>
    <xf numFmtId="10" fontId="9" fillId="5" borderId="19" xfId="0" applyNumberFormat="1" applyFont="1" applyFill="1" applyBorder="1"/>
    <xf numFmtId="0" fontId="9" fillId="8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/>
    </xf>
    <xf numFmtId="8" fontId="29" fillId="0" borderId="12" xfId="0" applyNumberFormat="1" applyFont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8" fontId="25" fillId="0" borderId="17" xfId="0" applyNumberFormat="1" applyFont="1" applyBorder="1" applyAlignment="1">
      <alignment horizontal="right" vertical="center"/>
    </xf>
    <xf numFmtId="0" fontId="25" fillId="0" borderId="17" xfId="0" applyFont="1" applyBorder="1" applyAlignment="1">
      <alignment horizontal="right" vertical="center"/>
    </xf>
    <xf numFmtId="6" fontId="24" fillId="2" borderId="16" xfId="0" applyNumberFormat="1" applyFont="1" applyFill="1" applyBorder="1" applyAlignment="1">
      <alignment horizontal="right" vertical="center"/>
    </xf>
    <xf numFmtId="5" fontId="24" fillId="2" borderId="17" xfId="0" applyNumberFormat="1" applyFont="1" applyFill="1" applyBorder="1" applyAlignment="1">
      <alignment horizontal="right" vertical="center"/>
    </xf>
    <xf numFmtId="10" fontId="24" fillId="2" borderId="5" xfId="0" applyNumberFormat="1" applyFont="1" applyFill="1" applyBorder="1" applyAlignment="1">
      <alignment horizontal="right" vertical="center"/>
    </xf>
    <xf numFmtId="0" fontId="24" fillId="2" borderId="2" xfId="0" applyFont="1" applyFill="1" applyBorder="1" applyAlignment="1">
      <alignment vertical="center"/>
    </xf>
    <xf numFmtId="0" fontId="24" fillId="2" borderId="2" xfId="0" applyFont="1" applyFill="1" applyBorder="1" applyAlignment="1">
      <alignment horizontal="center" vertical="center"/>
    </xf>
    <xf numFmtId="169" fontId="9" fillId="5" borderId="14" xfId="0" applyNumberFormat="1" applyFont="1" applyFill="1" applyBorder="1" applyAlignment="1">
      <alignment vertical="center"/>
    </xf>
    <xf numFmtId="169" fontId="9" fillId="0" borderId="14" xfId="0" applyNumberFormat="1" applyFont="1" applyBorder="1" applyAlignment="1">
      <alignment horizontal="right" vertical="center"/>
    </xf>
    <xf numFmtId="0" fontId="31" fillId="0" borderId="0" xfId="0" applyFont="1" applyAlignment="1">
      <alignment horizontal="center" vertical="center"/>
    </xf>
    <xf numFmtId="7" fontId="31" fillId="0" borderId="0" xfId="0" applyNumberFormat="1" applyFont="1" applyAlignment="1">
      <alignment vertical="center"/>
    </xf>
    <xf numFmtId="177" fontId="31" fillId="0" borderId="0" xfId="0" applyNumberFormat="1" applyFont="1" applyAlignment="1">
      <alignment horizontal="center" vertical="center"/>
    </xf>
    <xf numFmtId="10" fontId="21" fillId="2" borderId="0" xfId="0" applyNumberFormat="1" applyFont="1" applyFill="1" applyAlignment="1">
      <alignment horizontal="center" vertical="center"/>
    </xf>
    <xf numFmtId="0" fontId="21" fillId="13" borderId="2" xfId="0" applyFont="1" applyFill="1" applyBorder="1" applyAlignment="1">
      <alignment horizontal="center" vertical="center"/>
    </xf>
    <xf numFmtId="0" fontId="21" fillId="13" borderId="3" xfId="0" applyFont="1" applyFill="1" applyBorder="1" applyAlignment="1">
      <alignment horizontal="center" vertical="center"/>
    </xf>
    <xf numFmtId="178" fontId="33" fillId="2" borderId="0" xfId="0" applyNumberFormat="1" applyFont="1" applyFill="1" applyAlignment="1">
      <alignment horizontal="center" vertical="center"/>
    </xf>
    <xf numFmtId="174" fontId="34" fillId="0" borderId="0" xfId="0" applyNumberFormat="1" applyFont="1" applyAlignment="1">
      <alignment horizontal="left" vertical="center"/>
    </xf>
    <xf numFmtId="173" fontId="34" fillId="0" borderId="0" xfId="0" applyNumberFormat="1" applyFont="1" applyAlignment="1">
      <alignment horizontal="left" vertical="center"/>
    </xf>
    <xf numFmtId="172" fontId="34" fillId="0" borderId="0" xfId="0" applyNumberFormat="1" applyFont="1" applyAlignment="1">
      <alignment horizontal="left" vertical="center"/>
    </xf>
    <xf numFmtId="10" fontId="34" fillId="0" borderId="0" xfId="0" applyNumberFormat="1" applyFont="1" applyAlignment="1">
      <alignment vertical="center"/>
    </xf>
    <xf numFmtId="179" fontId="24" fillId="2" borderId="1" xfId="0" applyNumberFormat="1" applyFont="1" applyFill="1" applyBorder="1" applyAlignment="1">
      <alignment horizontal="center" vertical="center"/>
    </xf>
    <xf numFmtId="8" fontId="11" fillId="2" borderId="4" xfId="0" applyNumberFormat="1" applyFont="1" applyFill="1" applyBorder="1" applyAlignment="1">
      <alignment vertical="center"/>
    </xf>
    <xf numFmtId="8" fontId="11" fillId="2" borderId="18" xfId="0" applyNumberFormat="1" applyFont="1" applyFill="1" applyBorder="1" applyAlignment="1">
      <alignment vertical="center"/>
    </xf>
    <xf numFmtId="8" fontId="11" fillId="2" borderId="19" xfId="0" applyNumberFormat="1" applyFont="1" applyFill="1" applyBorder="1" applyAlignment="1">
      <alignment vertical="center"/>
    </xf>
    <xf numFmtId="2" fontId="7" fillId="3" borderId="11" xfId="4" applyNumberFormat="1" applyFont="1" applyFill="1" applyBorder="1" applyAlignment="1">
      <alignment vertical="center"/>
    </xf>
    <xf numFmtId="2" fontId="7" fillId="3" borderId="14" xfId="4" applyNumberFormat="1" applyFont="1" applyFill="1" applyBorder="1" applyAlignment="1">
      <alignment vertical="center"/>
    </xf>
    <xf numFmtId="2" fontId="7" fillId="3" borderId="16" xfId="4" applyNumberFormat="1" applyFont="1" applyFill="1" applyBorder="1" applyAlignment="1">
      <alignment vertical="center"/>
    </xf>
    <xf numFmtId="0" fontId="9" fillId="5" borderId="4" xfId="0" applyFont="1" applyFill="1" applyBorder="1" applyAlignment="1">
      <alignment horizontal="center" vertical="center" wrapText="1"/>
    </xf>
    <xf numFmtId="176" fontId="31" fillId="2" borderId="0" xfId="0" applyNumberFormat="1" applyFont="1" applyFill="1" applyAlignment="1">
      <alignment horizontal="left" vertical="center"/>
    </xf>
    <xf numFmtId="177" fontId="31" fillId="2" borderId="0" xfId="0" applyNumberFormat="1" applyFont="1" applyFill="1" applyAlignment="1">
      <alignment horizontal="left" vertical="center"/>
    </xf>
    <xf numFmtId="170" fontId="24" fillId="2" borderId="11" xfId="0" applyNumberFormat="1" applyFont="1" applyFill="1" applyBorder="1" applyAlignment="1">
      <alignment horizontal="center" vertical="center"/>
    </xf>
    <xf numFmtId="8" fontId="37" fillId="2" borderId="0" xfId="0" applyNumberFormat="1" applyFont="1" applyFill="1" applyAlignment="1">
      <alignment vertical="center"/>
    </xf>
    <xf numFmtId="0" fontId="37" fillId="2" borderId="0" xfId="0" applyFont="1" applyFill="1" applyAlignment="1">
      <alignment horizontal="left" vertical="center"/>
    </xf>
    <xf numFmtId="0" fontId="36" fillId="13" borderId="15" xfId="0" applyFont="1" applyFill="1" applyBorder="1" applyAlignment="1">
      <alignment horizontal="center" vertical="center"/>
    </xf>
    <xf numFmtId="8" fontId="38" fillId="0" borderId="0" xfId="0" applyNumberFormat="1" applyFont="1" applyAlignment="1">
      <alignment vertical="center"/>
    </xf>
    <xf numFmtId="0" fontId="38" fillId="0" borderId="0" xfId="0" applyFont="1" applyAlignment="1">
      <alignment horizontal="left" vertical="center"/>
    </xf>
    <xf numFmtId="166" fontId="9" fillId="8" borderId="1" xfId="0" applyNumberFormat="1" applyFont="1" applyFill="1" applyBorder="1" applyAlignment="1">
      <alignment horizontal="center" vertical="center"/>
    </xf>
    <xf numFmtId="166" fontId="9" fillId="8" borderId="2" xfId="0" applyNumberFormat="1" applyFont="1" applyFill="1" applyBorder="1" applyAlignment="1">
      <alignment horizontal="center" vertical="center"/>
    </xf>
    <xf numFmtId="166" fontId="9" fillId="8" borderId="3" xfId="0" applyNumberFormat="1" applyFont="1" applyFill="1" applyBorder="1" applyAlignment="1">
      <alignment horizontal="center" vertical="center"/>
    </xf>
    <xf numFmtId="166" fontId="9" fillId="6" borderId="1" xfId="0" applyNumberFormat="1" applyFont="1" applyFill="1" applyBorder="1" applyAlignment="1">
      <alignment horizontal="center" vertical="center"/>
    </xf>
    <xf numFmtId="166" fontId="9" fillId="6" borderId="2" xfId="0" applyNumberFormat="1" applyFont="1" applyFill="1" applyBorder="1" applyAlignment="1">
      <alignment horizontal="center" vertical="center"/>
    </xf>
    <xf numFmtId="166" fontId="9" fillId="6" borderId="3" xfId="0" applyNumberFormat="1" applyFont="1" applyFill="1" applyBorder="1" applyAlignment="1">
      <alignment horizontal="center" vertical="center"/>
    </xf>
    <xf numFmtId="166" fontId="9" fillId="9" borderId="1" xfId="0" applyNumberFormat="1" applyFont="1" applyFill="1" applyBorder="1" applyAlignment="1">
      <alignment horizontal="center" vertical="center"/>
    </xf>
    <xf numFmtId="166" fontId="9" fillId="9" borderId="2" xfId="0" applyNumberFormat="1" applyFont="1" applyFill="1" applyBorder="1" applyAlignment="1">
      <alignment horizontal="center" vertical="center"/>
    </xf>
    <xf numFmtId="166" fontId="9" fillId="9" borderId="3" xfId="0" applyNumberFormat="1" applyFont="1" applyFill="1" applyBorder="1" applyAlignment="1">
      <alignment horizontal="center" vertical="center"/>
    </xf>
    <xf numFmtId="175" fontId="24" fillId="2" borderId="2" xfId="0" applyNumberFormat="1" applyFont="1" applyFill="1" applyBorder="1" applyAlignment="1">
      <alignment horizontal="center"/>
    </xf>
    <xf numFmtId="166" fontId="9" fillId="0" borderId="0" xfId="0" applyNumberFormat="1" applyFont="1" applyAlignment="1">
      <alignment horizontal="center" vertical="center"/>
    </xf>
    <xf numFmtId="7" fontId="24" fillId="2" borderId="2" xfId="0" applyNumberFormat="1" applyFont="1" applyFill="1" applyBorder="1" applyAlignment="1">
      <alignment horizontal="center"/>
    </xf>
    <xf numFmtId="7" fontId="24" fillId="2" borderId="3" xfId="0" applyNumberFormat="1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22" fillId="2" borderId="0" xfId="0" quotePrefix="1" applyFont="1" applyFill="1" applyAlignment="1">
      <alignment horizontal="center" vertical="center"/>
    </xf>
    <xf numFmtId="0" fontId="31" fillId="2" borderId="0" xfId="0" applyFont="1" applyFill="1" applyAlignment="1">
      <alignment horizontal="center" vertical="center"/>
    </xf>
  </cellXfs>
  <cellStyles count="8">
    <cellStyle name="Lien hypertexte" xfId="1" builtinId="8"/>
    <cellStyle name="Lien hypertexte 2" xfId="3"/>
    <cellStyle name="Lien hypertexte 3" xfId="6"/>
    <cellStyle name="Normal" xfId="0" builtinId="0"/>
    <cellStyle name="Normal 2" xfId="4"/>
    <cellStyle name="Normal 2 2" xfId="5"/>
    <cellStyle name="Normal 3" xfId="2"/>
    <cellStyle name="Pourcentage 2" xfId="7"/>
  </cellStyles>
  <dxfs count="7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Narrow"/>
        <scheme val="none"/>
      </font>
      <numFmt numFmtId="166" formatCode="#,##0.00_ ;[Red]\-#,##0.00\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Narrow"/>
        <scheme val="none"/>
      </font>
      <numFmt numFmtId="166" formatCode="#,##0.00_ ;[Red]\-#,##0.00\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Narrow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i/>
      </font>
    </dxf>
    <dxf>
      <font>
        <i/>
      </font>
    </dxf>
    <dxf>
      <font>
        <b/>
      </font>
    </dxf>
    <dxf>
      <font>
        <b/>
      </font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rgb="FF002060"/>
        </patternFill>
      </fill>
    </dxf>
    <dxf>
      <fill>
        <patternFill patternType="solid">
          <bgColor rgb="FF00206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</dxf>
    <dxf>
      <font>
        <color theme="0"/>
      </font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ont>
        <b/>
      </font>
    </dxf>
    <dxf>
      <font>
        <b/>
      </font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12" formatCode="#,##0.00\ &quot;€&quot;;[Red]\-#,##0.00\ &quot;€&quot;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646985217867133"/>
          <c:y val="9.2386057911846745E-2"/>
          <c:w val="0.52552483717313114"/>
          <c:h val="0.88026097402133441"/>
        </c:manualLayout>
      </c:layout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'Cours (2)'!$A$4:$A$21</c:f>
              <c:strCache>
                <c:ptCount val="18"/>
                <c:pt idx="0">
                  <c:v>AVIVA i-Multi Str Target</c:v>
                </c:pt>
                <c:pt idx="1">
                  <c:v>Comgest Growth Japan Eur Acc Clas</c:v>
                </c:pt>
                <c:pt idx="2">
                  <c:v>AVIVA Convertibles A</c:v>
                </c:pt>
                <c:pt idx="3">
                  <c:v>Phileas LS Europe R</c:v>
                </c:pt>
                <c:pt idx="4">
                  <c:v>AVIVA Monetaire ISR A</c:v>
                </c:pt>
                <c:pt idx="5">
                  <c:v>Moneta Multi Caps C</c:v>
                </c:pt>
                <c:pt idx="6">
                  <c:v>M&amp;G Optimal Income Fd AH Eur acc</c:v>
                </c:pt>
                <c:pt idx="7">
                  <c:v>Natixis Seeyond Eur Minvar R/A c</c:v>
                </c:pt>
                <c:pt idx="8">
                  <c:v>Nordea 1 - Stable Return BP Eur</c:v>
                </c:pt>
                <c:pt idx="9">
                  <c:v>R Conviction Euro C Eur</c:v>
                </c:pt>
                <c:pt idx="10">
                  <c:v>R Opal Absolu</c:v>
                </c:pt>
                <c:pt idx="11">
                  <c:v>R Opal Biens Reels C</c:v>
                </c:pt>
                <c:pt idx="12">
                  <c:v>R Opal Equilibre</c:v>
                </c:pt>
                <c:pt idx="13">
                  <c:v>R Opal Emergents C Eur</c:v>
                </c:pt>
                <c:pt idx="14">
                  <c:v>Natixis Actions US Growth R Eur</c:v>
                </c:pt>
                <c:pt idx="15">
                  <c:v>T. Rowe Price US Equity A EUR </c:v>
                </c:pt>
                <c:pt idx="16">
                  <c:v>AVIVA Patrimoine Immobilier</c:v>
                </c:pt>
                <c:pt idx="17">
                  <c:v>AVIVA Actif Garanti</c:v>
                </c:pt>
              </c:strCache>
            </c:strRef>
          </c:cat>
          <c:val>
            <c:numRef>
              <c:f>'Cours (2)'!$B$4:$B$21</c:f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DEA-464C-9264-7B5FAD2355D6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'Cours (2)'!$A$4:$A$21</c:f>
              <c:strCache>
                <c:ptCount val="18"/>
                <c:pt idx="0">
                  <c:v>AVIVA i-Multi Str Target</c:v>
                </c:pt>
                <c:pt idx="1">
                  <c:v>Comgest Growth Japan Eur Acc Clas</c:v>
                </c:pt>
                <c:pt idx="2">
                  <c:v>AVIVA Convertibles A</c:v>
                </c:pt>
                <c:pt idx="3">
                  <c:v>Phileas LS Europe R</c:v>
                </c:pt>
                <c:pt idx="4">
                  <c:v>AVIVA Monetaire ISR A</c:v>
                </c:pt>
                <c:pt idx="5">
                  <c:v>Moneta Multi Caps C</c:v>
                </c:pt>
                <c:pt idx="6">
                  <c:v>M&amp;G Optimal Income Fd AH Eur acc</c:v>
                </c:pt>
                <c:pt idx="7">
                  <c:v>Natixis Seeyond Eur Minvar R/A c</c:v>
                </c:pt>
                <c:pt idx="8">
                  <c:v>Nordea 1 - Stable Return BP Eur</c:v>
                </c:pt>
                <c:pt idx="9">
                  <c:v>R Conviction Euro C Eur</c:v>
                </c:pt>
                <c:pt idx="10">
                  <c:v>R Opal Absolu</c:v>
                </c:pt>
                <c:pt idx="11">
                  <c:v>R Opal Biens Reels C</c:v>
                </c:pt>
                <c:pt idx="12">
                  <c:v>R Opal Equilibre</c:v>
                </c:pt>
                <c:pt idx="13">
                  <c:v>R Opal Emergents C Eur</c:v>
                </c:pt>
                <c:pt idx="14">
                  <c:v>Natixis Actions US Growth R Eur</c:v>
                </c:pt>
                <c:pt idx="15">
                  <c:v>T. Rowe Price US Equity A EUR </c:v>
                </c:pt>
                <c:pt idx="16">
                  <c:v>AVIVA Patrimoine Immobilier</c:v>
                </c:pt>
                <c:pt idx="17">
                  <c:v>AVIVA Actif Garanti</c:v>
                </c:pt>
              </c:strCache>
            </c:strRef>
          </c:cat>
          <c:val>
            <c:numRef>
              <c:f>'Cours (2)'!$C$4:$C$21</c:f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DEA-464C-9264-7B5FAD2355D6}"/>
            </c:ext>
          </c:extLst>
        </c:ser>
        <c:ser>
          <c:idx val="3"/>
          <c:order val="2"/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'Cours (2)'!$A$4:$A$21</c:f>
              <c:strCache>
                <c:ptCount val="18"/>
                <c:pt idx="0">
                  <c:v>AVIVA i-Multi Str Target</c:v>
                </c:pt>
                <c:pt idx="1">
                  <c:v>Comgest Growth Japan Eur Acc Clas</c:v>
                </c:pt>
                <c:pt idx="2">
                  <c:v>AVIVA Convertibles A</c:v>
                </c:pt>
                <c:pt idx="3">
                  <c:v>Phileas LS Europe R</c:v>
                </c:pt>
                <c:pt idx="4">
                  <c:v>AVIVA Monetaire ISR A</c:v>
                </c:pt>
                <c:pt idx="5">
                  <c:v>Moneta Multi Caps C</c:v>
                </c:pt>
                <c:pt idx="6">
                  <c:v>M&amp;G Optimal Income Fd AH Eur acc</c:v>
                </c:pt>
                <c:pt idx="7">
                  <c:v>Natixis Seeyond Eur Minvar R/A c</c:v>
                </c:pt>
                <c:pt idx="8">
                  <c:v>Nordea 1 - Stable Return BP Eur</c:v>
                </c:pt>
                <c:pt idx="9">
                  <c:v>R Conviction Euro C Eur</c:v>
                </c:pt>
                <c:pt idx="10">
                  <c:v>R Opal Absolu</c:v>
                </c:pt>
                <c:pt idx="11">
                  <c:v>R Opal Biens Reels C</c:v>
                </c:pt>
                <c:pt idx="12">
                  <c:v>R Opal Equilibre</c:v>
                </c:pt>
                <c:pt idx="13">
                  <c:v>R Opal Emergents C Eur</c:v>
                </c:pt>
                <c:pt idx="14">
                  <c:v>Natixis Actions US Growth R Eur</c:v>
                </c:pt>
                <c:pt idx="15">
                  <c:v>T. Rowe Price US Equity A EUR </c:v>
                </c:pt>
                <c:pt idx="16">
                  <c:v>AVIVA Patrimoine Immobilier</c:v>
                </c:pt>
                <c:pt idx="17">
                  <c:v>AVIVA Actif Garanti</c:v>
                </c:pt>
              </c:strCache>
            </c:strRef>
          </c:cat>
          <c:val>
            <c:numRef>
              <c:f>'Cours (2)'!$E$4:$E$21</c:f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DEA-464C-9264-7B5FAD2355D6}"/>
            </c:ext>
          </c:extLst>
        </c:ser>
        <c:ser>
          <c:idx val="4"/>
          <c:order val="3"/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'Cours (2)'!$A$4:$A$21</c:f>
              <c:strCache>
                <c:ptCount val="18"/>
                <c:pt idx="0">
                  <c:v>AVIVA i-Multi Str Target</c:v>
                </c:pt>
                <c:pt idx="1">
                  <c:v>Comgest Growth Japan Eur Acc Clas</c:v>
                </c:pt>
                <c:pt idx="2">
                  <c:v>AVIVA Convertibles A</c:v>
                </c:pt>
                <c:pt idx="3">
                  <c:v>Phileas LS Europe R</c:v>
                </c:pt>
                <c:pt idx="4">
                  <c:v>AVIVA Monetaire ISR A</c:v>
                </c:pt>
                <c:pt idx="5">
                  <c:v>Moneta Multi Caps C</c:v>
                </c:pt>
                <c:pt idx="6">
                  <c:v>M&amp;G Optimal Income Fd AH Eur acc</c:v>
                </c:pt>
                <c:pt idx="7">
                  <c:v>Natixis Seeyond Eur Minvar R/A c</c:v>
                </c:pt>
                <c:pt idx="8">
                  <c:v>Nordea 1 - Stable Return BP Eur</c:v>
                </c:pt>
                <c:pt idx="9">
                  <c:v>R Conviction Euro C Eur</c:v>
                </c:pt>
                <c:pt idx="10">
                  <c:v>R Opal Absolu</c:v>
                </c:pt>
                <c:pt idx="11">
                  <c:v>R Opal Biens Reels C</c:v>
                </c:pt>
                <c:pt idx="12">
                  <c:v>R Opal Equilibre</c:v>
                </c:pt>
                <c:pt idx="13">
                  <c:v>R Opal Emergents C Eur</c:v>
                </c:pt>
                <c:pt idx="14">
                  <c:v>Natixis Actions US Growth R Eur</c:v>
                </c:pt>
                <c:pt idx="15">
                  <c:v>T. Rowe Price US Equity A EUR </c:v>
                </c:pt>
                <c:pt idx="16">
                  <c:v>AVIVA Patrimoine Immobilier</c:v>
                </c:pt>
                <c:pt idx="17">
                  <c:v>AVIVA Actif Garanti</c:v>
                </c:pt>
              </c:strCache>
            </c:strRef>
          </c:cat>
          <c:val>
            <c:numRef>
              <c:f>'Cours (2)'!$F$4:$F$21</c:f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EDEA-464C-9264-7B5FAD2355D6}"/>
            </c:ext>
          </c:extLst>
        </c:ser>
        <c:ser>
          <c:idx val="5"/>
          <c:order val="4"/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'Cours (2)'!$A$4:$A$21</c:f>
              <c:strCache>
                <c:ptCount val="18"/>
                <c:pt idx="0">
                  <c:v>AVIVA i-Multi Str Target</c:v>
                </c:pt>
                <c:pt idx="1">
                  <c:v>Comgest Growth Japan Eur Acc Clas</c:v>
                </c:pt>
                <c:pt idx="2">
                  <c:v>AVIVA Convertibles A</c:v>
                </c:pt>
                <c:pt idx="3">
                  <c:v>Phileas LS Europe R</c:v>
                </c:pt>
                <c:pt idx="4">
                  <c:v>AVIVA Monetaire ISR A</c:v>
                </c:pt>
                <c:pt idx="5">
                  <c:v>Moneta Multi Caps C</c:v>
                </c:pt>
                <c:pt idx="6">
                  <c:v>M&amp;G Optimal Income Fd AH Eur acc</c:v>
                </c:pt>
                <c:pt idx="7">
                  <c:v>Natixis Seeyond Eur Minvar R/A c</c:v>
                </c:pt>
                <c:pt idx="8">
                  <c:v>Nordea 1 - Stable Return BP Eur</c:v>
                </c:pt>
                <c:pt idx="9">
                  <c:v>R Conviction Euro C Eur</c:v>
                </c:pt>
                <c:pt idx="10">
                  <c:v>R Opal Absolu</c:v>
                </c:pt>
                <c:pt idx="11">
                  <c:v>R Opal Biens Reels C</c:v>
                </c:pt>
                <c:pt idx="12">
                  <c:v>R Opal Equilibre</c:v>
                </c:pt>
                <c:pt idx="13">
                  <c:v>R Opal Emergents C Eur</c:v>
                </c:pt>
                <c:pt idx="14">
                  <c:v>Natixis Actions US Growth R Eur</c:v>
                </c:pt>
                <c:pt idx="15">
                  <c:v>T. Rowe Price US Equity A EUR </c:v>
                </c:pt>
                <c:pt idx="16">
                  <c:v>AVIVA Patrimoine Immobilier</c:v>
                </c:pt>
                <c:pt idx="17">
                  <c:v>AVIVA Actif Garanti</c:v>
                </c:pt>
              </c:strCache>
            </c:strRef>
          </c:cat>
          <c:val>
            <c:numRef>
              <c:f>'Cours (2)'!$G$4:$G$21</c:f>
              <c:numCache>
                <c:formatCode>"€"#,##0.00_);[Red]\("€"#,##0.00\)</c:formatCode>
                <c:ptCount val="18"/>
                <c:pt idx="0">
                  <c:v>6295.9723439999998</c:v>
                </c:pt>
                <c:pt idx="1">
                  <c:v>467.11320699999993</c:v>
                </c:pt>
                <c:pt idx="2">
                  <c:v>1141.4462060000001</c:v>
                </c:pt>
                <c:pt idx="3">
                  <c:v>556.28144999999995</c:v>
                </c:pt>
                <c:pt idx="4">
                  <c:v>671.96327100000008</c:v>
                </c:pt>
                <c:pt idx="5">
                  <c:v>604.11201899999992</c:v>
                </c:pt>
                <c:pt idx="6">
                  <c:v>919.69768799999997</c:v>
                </c:pt>
                <c:pt idx="7">
                  <c:v>1173.6470200000001</c:v>
                </c:pt>
                <c:pt idx="8">
                  <c:v>691.57496000000003</c:v>
                </c:pt>
                <c:pt idx="9">
                  <c:v>1199.293764</c:v>
                </c:pt>
                <c:pt idx="10">
                  <c:v>1258.3502819999999</c:v>
                </c:pt>
                <c:pt idx="11">
                  <c:v>481.49409599999996</c:v>
                </c:pt>
                <c:pt idx="12">
                  <c:v>708.54361200000005</c:v>
                </c:pt>
                <c:pt idx="13">
                  <c:v>612.20560799999998</c:v>
                </c:pt>
                <c:pt idx="14">
                  <c:v>486.00419299999999</c:v>
                </c:pt>
                <c:pt idx="15">
                  <c:v>700.09518299999991</c:v>
                </c:pt>
                <c:pt idx="16">
                  <c:v>885.8264165999999</c:v>
                </c:pt>
                <c:pt idx="17">
                  <c:v>3257.6826809999998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DEA-464C-9264-7B5FAD2355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50577176"/>
        <c:axId val="150579136"/>
      </c:barChart>
      <c:catAx>
        <c:axId val="1505771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579136"/>
        <c:crosses val="autoZero"/>
        <c:auto val="1"/>
        <c:lblAlgn val="ctr"/>
        <c:lblOffset val="100"/>
        <c:noMultiLvlLbl val="0"/>
      </c:catAx>
      <c:valAx>
        <c:axId val="150579136"/>
        <c:scaling>
          <c:orientation val="minMax"/>
        </c:scaling>
        <c:delete val="1"/>
        <c:axPos val="b"/>
        <c:numFmt formatCode="&quot;€&quot;#,##0.00_);[Red]\(&quot;€&quot;#,##0.00\)" sourceLinked="1"/>
        <c:majorTickMark val="none"/>
        <c:minorTickMark val="none"/>
        <c:tickLblPos val="nextTo"/>
        <c:crossAx val="150577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[Aviva Epargne Pluriel.xlsm]Détail!Tableau croisé dynamique1</c:name>
    <c:fmtId val="1"/>
  </c:pivotSource>
  <c:chart>
    <c:autoTitleDeleted val="1"/>
    <c:pivotFmts>
      <c:pivotFmt>
        <c:idx val="0"/>
        <c:dLbl>
          <c:idx val="0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layout>
            <c:manualLayout>
              <c:x val="-0.1694998373596141"/>
              <c:y val="9.4562905925544991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layout>
            <c:manualLayout>
              <c:x val="-0.11037198711788827"/>
              <c:y val="9.456290592554488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layout>
            <c:manualLayout>
              <c:x val="-5.1244136876162381E-2"/>
              <c:y val="9.4562905925544935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</c:pivotFmt>
      <c:pivotFmt>
        <c:idx val="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numFmt formatCode="#,##0.00\ [$€-1]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38710152150925098"/>
          <c:y val="4.210835750900823E-2"/>
          <c:w val="0.57850036873431021"/>
          <c:h val="0.9314253023278868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Détail!$B$6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Détail!$A$7:$A$10</c:f>
              <c:strCache>
                <c:ptCount val="3"/>
                <c:pt idx="0">
                  <c:v>V. Initial</c:v>
                </c:pt>
                <c:pt idx="1">
                  <c:v>V. Libre</c:v>
                </c:pt>
                <c:pt idx="2">
                  <c:v>V. Programmé</c:v>
                </c:pt>
              </c:strCache>
            </c:strRef>
          </c:cat>
          <c:val>
            <c:numRef>
              <c:f>Détail!$B$7:$B$10</c:f>
              <c:numCache>
                <c:formatCode>"€"#,##0.00_);[Red]\("€"#,##0.00\)</c:formatCode>
                <c:ptCount val="3"/>
                <c:pt idx="0">
                  <c:v>5050</c:v>
                </c:pt>
                <c:pt idx="1">
                  <c:v>13500</c:v>
                </c:pt>
                <c:pt idx="2">
                  <c:v>3900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6FD-422D-8179-D7DA1F5A3BF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50577960"/>
        <c:axId val="150578352"/>
      </c:barChart>
      <c:catAx>
        <c:axId val="1505779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1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578352"/>
        <c:crosses val="autoZero"/>
        <c:auto val="1"/>
        <c:lblAlgn val="ctr"/>
        <c:lblOffset val="100"/>
        <c:noMultiLvlLbl val="0"/>
      </c:catAx>
      <c:valAx>
        <c:axId val="150578352"/>
        <c:scaling>
          <c:orientation val="minMax"/>
        </c:scaling>
        <c:delete val="1"/>
        <c:axPos val="b"/>
        <c:numFmt formatCode="&quot;€&quot;#,##0.00_);[Red]\(&quot;€&quot;#,##0.00\)" sourceLinked="1"/>
        <c:majorTickMark val="none"/>
        <c:minorTickMark val="none"/>
        <c:tickLblPos val="nextTo"/>
        <c:crossAx val="150577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206375</xdr:colOff>
      <xdr:row>2</xdr:row>
      <xdr:rowOff>47625</xdr:rowOff>
    </xdr:from>
    <xdr:ext cx="944169" cy="264560"/>
    <xdr:sp macro="[0]!MajCotations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206375" y="428625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  <xdr:twoCellAnchor>
    <xdr:from>
      <xdr:col>0</xdr:col>
      <xdr:colOff>0</xdr:colOff>
      <xdr:row>25</xdr:row>
      <xdr:rowOff>28576</xdr:rowOff>
    </xdr:from>
    <xdr:to>
      <xdr:col>16</xdr:col>
      <xdr:colOff>554567</xdr:colOff>
      <xdr:row>49</xdr:row>
      <xdr:rowOff>117475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D2842D75-CFA5-4EF2-8F39-1EA3FA548984}"/>
            </a:ext>
            <a:ext uri="{147F2762-F138-4A5C-976F-8EAC2B608ADB}">
              <a16:predDERef xmlns:a16="http://schemas.microsoft.com/office/drawing/2014/main" xmlns="" pre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0.73443</cdr:x>
      <cdr:y>0.02837</cdr:y>
    </cdr:from>
    <cdr:to>
      <cdr:x>0.96041</cdr:x>
      <cdr:y>0.16776</cdr:y>
    </cdr:to>
    <cdr:pic>
      <cdr:nvPicPr>
        <cdr:cNvPr id="4" name="Image 3">
          <a:extLst xmlns:a="http://schemas.openxmlformats.org/drawingml/2006/main">
            <a:ext uri="{FF2B5EF4-FFF2-40B4-BE49-F238E27FC236}">
              <a16:creationId xmlns:a16="http://schemas.microsoft.com/office/drawing/2014/main" xmlns="" id="{46ED5771-1F84-4513-986C-75B5AAFCD5CE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3838574" y="109538"/>
          <a:ext cx="1181101" cy="538162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</xdr:colOff>
      <xdr:row>10</xdr:row>
      <xdr:rowOff>47626</xdr:rowOff>
    </xdr:from>
    <xdr:to>
      <xdr:col>4</xdr:col>
      <xdr:colOff>9525</xdr:colOff>
      <xdr:row>14</xdr:row>
      <xdr:rowOff>176212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7040CE64-3B25-4ECA-AECF-39FBD0B8C6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XLNext Device" refreshedDate="43523.768526736108" createdVersion="6" refreshedVersion="6" minRefreshableVersion="3" recordCount="63">
  <cacheSource type="worksheet">
    <worksheetSource name="Tableau2"/>
  </cacheSource>
  <cacheFields count="4">
    <cacheField name="Statut" numFmtId="14">
      <sharedItems containsSemiMixedTypes="0" containsNonDate="0" containsDate="1" containsString="0" minDate="2016-05-20T00:00:00" maxDate="2019-12-02T00:00:00"/>
    </cacheField>
    <cacheField name="Date" numFmtId="166">
      <sharedItems containsSemiMixedTypes="0" containsString="0" containsNumber="1" containsInteger="1" minValue="0" maxValue="5000"/>
    </cacheField>
    <cacheField name="Nom" numFmtId="166">
      <sharedItems containsSemiMixedTypes="0" containsString="0" containsNumber="1" containsInteger="1" minValue="5000" maxValue="22450"/>
    </cacheField>
    <cacheField name="Catégorie" numFmtId="0">
      <sharedItems count="3">
        <s v="Versement Initial"/>
        <s v="Versement Libre"/>
        <s v="Versement Programmé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">
  <r>
    <d v="2016-05-20T00:00:00"/>
    <n v="5000"/>
    <n v="5000"/>
    <x v="0"/>
  </r>
  <r>
    <d v="2016-05-28T00:00:00"/>
    <n v="750"/>
    <n v="5750"/>
    <x v="1"/>
  </r>
  <r>
    <d v="2016-06-01T00:00:00"/>
    <n v="100"/>
    <n v="5850"/>
    <x v="2"/>
  </r>
  <r>
    <d v="2016-06-13T00:00:00"/>
    <n v="750"/>
    <n v="6600"/>
    <x v="1"/>
  </r>
  <r>
    <d v="2016-06-18T00:00:00"/>
    <n v="750"/>
    <n v="7350"/>
    <x v="1"/>
  </r>
  <r>
    <d v="2016-07-01T00:00:00"/>
    <n v="100"/>
    <n v="7450"/>
    <x v="2"/>
  </r>
  <r>
    <d v="2016-08-01T00:00:00"/>
    <n v="100"/>
    <n v="7550"/>
    <x v="2"/>
  </r>
  <r>
    <d v="2016-08-12T00:00:00"/>
    <n v="750"/>
    <n v="8300"/>
    <x v="1"/>
  </r>
  <r>
    <d v="2016-09-01T00:00:00"/>
    <n v="100"/>
    <n v="8400"/>
    <x v="2"/>
  </r>
  <r>
    <d v="2016-09-20T00:00:00"/>
    <n v="750"/>
    <n v="9150"/>
    <x v="1"/>
  </r>
  <r>
    <d v="2016-09-30T00:00:00"/>
    <n v="750"/>
    <n v="9900"/>
    <x v="1"/>
  </r>
  <r>
    <d v="2016-10-01T00:00:00"/>
    <n v="100"/>
    <n v="10000"/>
    <x v="2"/>
  </r>
  <r>
    <d v="2016-10-01T00:00:00"/>
    <n v="50"/>
    <n v="10050"/>
    <x v="0"/>
  </r>
  <r>
    <d v="2016-10-12T00:00:00"/>
    <n v="750"/>
    <n v="10800"/>
    <x v="1"/>
  </r>
  <r>
    <d v="2016-10-17T00:00:00"/>
    <n v="750"/>
    <n v="11550"/>
    <x v="1"/>
  </r>
  <r>
    <d v="2016-10-21T00:00:00"/>
    <n v="750"/>
    <n v="12300"/>
    <x v="1"/>
  </r>
  <r>
    <d v="2016-11-01T00:00:00"/>
    <n v="100"/>
    <n v="12400"/>
    <x v="2"/>
  </r>
  <r>
    <d v="2016-12-01T00:00:00"/>
    <n v="100"/>
    <n v="12500"/>
    <x v="2"/>
  </r>
  <r>
    <d v="2017-01-01T00:00:00"/>
    <n v="100"/>
    <n v="12600"/>
    <x v="2"/>
  </r>
  <r>
    <d v="2017-02-01T00:00:00"/>
    <n v="100"/>
    <n v="12700"/>
    <x v="2"/>
  </r>
  <r>
    <d v="2017-02-03T00:00:00"/>
    <n v="750"/>
    <n v="13450"/>
    <x v="1"/>
  </r>
  <r>
    <d v="2017-03-01T00:00:00"/>
    <n v="100"/>
    <n v="13550"/>
    <x v="2"/>
  </r>
  <r>
    <d v="2017-04-01T00:00:00"/>
    <n v="100"/>
    <n v="13650"/>
    <x v="2"/>
  </r>
  <r>
    <d v="2017-05-01T00:00:00"/>
    <n v="100"/>
    <n v="13750"/>
    <x v="2"/>
  </r>
  <r>
    <d v="2017-06-01T00:00:00"/>
    <n v="100"/>
    <n v="13850"/>
    <x v="2"/>
  </r>
  <r>
    <d v="2017-07-01T00:00:00"/>
    <n v="100"/>
    <n v="13950"/>
    <x v="2"/>
  </r>
  <r>
    <d v="2017-08-01T00:00:00"/>
    <n v="100"/>
    <n v="14050"/>
    <x v="2"/>
  </r>
  <r>
    <d v="2017-09-01T00:00:00"/>
    <n v="100"/>
    <n v="14150"/>
    <x v="2"/>
  </r>
  <r>
    <d v="2017-10-01T00:00:00"/>
    <n v="100"/>
    <n v="14250"/>
    <x v="2"/>
  </r>
  <r>
    <d v="2017-11-01T00:00:00"/>
    <n v="100"/>
    <n v="14350"/>
    <x v="2"/>
  </r>
  <r>
    <d v="2017-12-01T00:00:00"/>
    <n v="100"/>
    <n v="14450"/>
    <x v="2"/>
  </r>
  <r>
    <d v="2018-01-01T00:00:00"/>
    <n v="100"/>
    <n v="14550"/>
    <x v="2"/>
  </r>
  <r>
    <d v="2018-02-01T00:00:00"/>
    <n v="100"/>
    <n v="14650"/>
    <x v="2"/>
  </r>
  <r>
    <d v="2018-03-01T00:00:00"/>
    <n v="100"/>
    <n v="14750"/>
    <x v="2"/>
  </r>
  <r>
    <d v="2018-04-01T00:00:00"/>
    <n v="100"/>
    <n v="14850"/>
    <x v="2"/>
  </r>
  <r>
    <d v="2018-05-01T00:00:00"/>
    <n v="100"/>
    <n v="14950"/>
    <x v="2"/>
  </r>
  <r>
    <d v="2018-06-01T00:00:00"/>
    <n v="100"/>
    <n v="15050"/>
    <x v="2"/>
  </r>
  <r>
    <d v="2018-06-26T00:00:00"/>
    <n v="750"/>
    <n v="15800"/>
    <x v="1"/>
  </r>
  <r>
    <d v="2018-07-01T00:00:00"/>
    <n v="100"/>
    <n v="15900"/>
    <x v="2"/>
  </r>
  <r>
    <d v="2018-07-09T00:00:00"/>
    <n v="750"/>
    <n v="16650"/>
    <x v="1"/>
  </r>
  <r>
    <d v="2018-08-01T00:00:00"/>
    <n v="100"/>
    <n v="16750"/>
    <x v="2"/>
  </r>
  <r>
    <d v="2018-09-01T00:00:00"/>
    <n v="150"/>
    <n v="16900"/>
    <x v="2"/>
  </r>
  <r>
    <d v="2018-09-02T00:00:00"/>
    <n v="750"/>
    <n v="17650"/>
    <x v="1"/>
  </r>
  <r>
    <d v="2018-09-11T00:00:00"/>
    <n v="750"/>
    <n v="18400"/>
    <x v="1"/>
  </r>
  <r>
    <d v="2018-10-01T00:00:00"/>
    <n v="150"/>
    <n v="18550"/>
    <x v="2"/>
  </r>
  <r>
    <d v="2018-10-11T00:00:00"/>
    <n v="750"/>
    <n v="19300"/>
    <x v="1"/>
  </r>
  <r>
    <d v="2018-10-24T00:00:00"/>
    <n v="750"/>
    <n v="20050"/>
    <x v="1"/>
  </r>
  <r>
    <d v="2018-10-31T00:00:00"/>
    <n v="750"/>
    <n v="20800"/>
    <x v="1"/>
  </r>
  <r>
    <d v="2018-11-01T00:00:00"/>
    <n v="150"/>
    <n v="20950"/>
    <x v="2"/>
  </r>
  <r>
    <d v="2018-11-15T00:00:00"/>
    <n v="750"/>
    <n v="21700"/>
    <x v="1"/>
  </r>
  <r>
    <d v="2018-12-01T00:00:00"/>
    <n v="150"/>
    <n v="21850"/>
    <x v="2"/>
  </r>
  <r>
    <d v="2019-01-01T00:00:00"/>
    <n v="200"/>
    <n v="22050"/>
    <x v="2"/>
  </r>
  <r>
    <d v="2019-02-01T00:00:00"/>
    <n v="200"/>
    <n v="22250"/>
    <x v="2"/>
  </r>
  <r>
    <d v="2019-03-01T00:00:00"/>
    <n v="200"/>
    <n v="22450"/>
    <x v="2"/>
  </r>
  <r>
    <d v="2019-04-01T00:00:00"/>
    <n v="0"/>
    <n v="22450"/>
    <x v="2"/>
  </r>
  <r>
    <d v="2019-05-01T00:00:00"/>
    <n v="0"/>
    <n v="22450"/>
    <x v="2"/>
  </r>
  <r>
    <d v="2019-06-01T00:00:00"/>
    <n v="0"/>
    <n v="22450"/>
    <x v="2"/>
  </r>
  <r>
    <d v="2019-07-01T00:00:00"/>
    <n v="0"/>
    <n v="22450"/>
    <x v="2"/>
  </r>
  <r>
    <d v="2019-08-01T00:00:00"/>
    <n v="0"/>
    <n v="22450"/>
    <x v="2"/>
  </r>
  <r>
    <d v="2019-09-01T00:00:00"/>
    <n v="0"/>
    <n v="22450"/>
    <x v="2"/>
  </r>
  <r>
    <d v="2019-10-01T00:00:00"/>
    <n v="0"/>
    <n v="22450"/>
    <x v="2"/>
  </r>
  <r>
    <d v="2019-11-01T00:00:00"/>
    <n v="0"/>
    <n v="22450"/>
    <x v="2"/>
  </r>
  <r>
    <d v="2019-12-01T00:00:00"/>
    <n v="0"/>
    <n v="2245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1" rowHeaderCaption="Type Vst">
  <location ref="A6:B10" firstHeaderRow="1" firstDataRow="1" firstDataCol="1"/>
  <pivotFields count="4">
    <pivotField numFmtId="14" showAll="0"/>
    <pivotField dataField="1" numFmtId="166" showAll="0"/>
    <pivotField numFmtId="166" showAll="0"/>
    <pivotField axis="axisRow" showAll="0">
      <items count="4">
        <item n="V. Initial" x="0"/>
        <item n="V. Libre" x="1"/>
        <item n="V. Programmé" x="2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Montant" fld="1" baseField="0" baseItem="0" numFmtId="8"/>
  </dataFields>
  <formats count="45">
    <format dxfId="49">
      <pivotArea type="all" dataOnly="0" outline="0" fieldPosition="0"/>
    </format>
    <format dxfId="48">
      <pivotArea outline="0" collapsedLevelsAreSubtotals="1" fieldPosition="0"/>
    </format>
    <format dxfId="47">
      <pivotArea field="3" type="button" dataOnly="0" labelOnly="1" outline="0" axis="axisRow" fieldPosition="0"/>
    </format>
    <format dxfId="46">
      <pivotArea dataOnly="0" labelOnly="1" fieldPosition="0">
        <references count="1">
          <reference field="3" count="0"/>
        </references>
      </pivotArea>
    </format>
    <format dxfId="45">
      <pivotArea dataOnly="0" labelOnly="1" grandRow="1" outline="0" fieldPosition="0"/>
    </format>
    <format dxfId="44">
      <pivotArea dataOnly="0" labelOnly="1" outline="0" axis="axisValues" fieldPosition="0"/>
    </format>
    <format dxfId="43">
      <pivotArea type="all" dataOnly="0" outline="0" fieldPosition="0"/>
    </format>
    <format dxfId="42">
      <pivotArea outline="0" collapsedLevelsAreSubtotals="1" fieldPosition="0"/>
    </format>
    <format dxfId="41">
      <pivotArea field="3" type="button" dataOnly="0" labelOnly="1" outline="0" axis="axisRow" fieldPosition="0"/>
    </format>
    <format dxfId="40">
      <pivotArea dataOnly="0" labelOnly="1" fieldPosition="0">
        <references count="1">
          <reference field="3" count="0"/>
        </references>
      </pivotArea>
    </format>
    <format dxfId="39">
      <pivotArea dataOnly="0" labelOnly="1" grandRow="1" outline="0" fieldPosition="0"/>
    </format>
    <format dxfId="38">
      <pivotArea dataOnly="0" labelOnly="1" outline="0" axis="axisValues" fieldPosition="0"/>
    </format>
    <format dxfId="37">
      <pivotArea field="3" type="button" dataOnly="0" labelOnly="1" outline="0" axis="axisRow" fieldPosition="0"/>
    </format>
    <format dxfId="36">
      <pivotArea dataOnly="0" labelOnly="1" outline="0" axis="axisValues" fieldPosition="0"/>
    </format>
    <format dxfId="35">
      <pivotArea type="all" dataOnly="0" outline="0" fieldPosition="0"/>
    </format>
    <format dxfId="34">
      <pivotArea outline="0" collapsedLevelsAreSubtotals="1" fieldPosition="0"/>
    </format>
    <format dxfId="33">
      <pivotArea field="3" type="button" dataOnly="0" labelOnly="1" outline="0" axis="axisRow" fieldPosition="0"/>
    </format>
    <format dxfId="32">
      <pivotArea dataOnly="0" labelOnly="1" fieldPosition="0">
        <references count="1">
          <reference field="3" count="0"/>
        </references>
      </pivotArea>
    </format>
    <format dxfId="31">
      <pivotArea dataOnly="0" labelOnly="1" grandRow="1" outline="0" fieldPosition="0"/>
    </format>
    <format dxfId="30">
      <pivotArea dataOnly="0" labelOnly="1" outline="0" axis="axisValues" fieldPosition="0"/>
    </format>
    <format dxfId="29">
      <pivotArea outline="0" collapsedLevelsAreSubtotals="1" fieldPosition="0"/>
    </format>
    <format dxfId="28">
      <pivotArea field="3" type="button" dataOnly="0" labelOnly="1" outline="0" axis="axisRow" fieldPosition="0"/>
    </format>
    <format dxfId="27">
      <pivotArea dataOnly="0" labelOnly="1" outline="0" axis="axisValues" fieldPosition="0"/>
    </format>
    <format dxfId="26">
      <pivotArea field="3" type="button" dataOnly="0" labelOnly="1" outline="0" axis="axisRow" fieldPosition="0"/>
    </format>
    <format dxfId="25">
      <pivotArea dataOnly="0" labelOnly="1" outline="0" axis="axisValues" fieldPosition="0"/>
    </format>
    <format dxfId="24">
      <pivotArea field="3" type="button" dataOnly="0" labelOnly="1" outline="0" axis="axisRow" fieldPosition="0"/>
    </format>
    <format dxfId="23">
      <pivotArea dataOnly="0" labelOnly="1" outline="0" axis="axisValues" fieldPosition="0"/>
    </format>
    <format dxfId="22">
      <pivotArea field="3" type="button" dataOnly="0" labelOnly="1" outline="0" axis="axisRow" fieldPosition="0"/>
    </format>
    <format dxfId="21">
      <pivotArea dataOnly="0" labelOnly="1" outline="0" axis="axisValues" fieldPosition="0"/>
    </format>
    <format dxfId="20">
      <pivotArea field="3" type="button" dataOnly="0" labelOnly="1" outline="0" axis="axisRow" fieldPosition="0"/>
    </format>
    <format dxfId="19">
      <pivotArea dataOnly="0" labelOnly="1" outline="0" axis="axisValues" fieldPosition="0"/>
    </format>
    <format dxfId="18">
      <pivotArea field="3" type="button" dataOnly="0" labelOnly="1" outline="0" axis="axisRow" fieldPosition="0"/>
    </format>
    <format dxfId="17">
      <pivotArea dataOnly="0" labelOnly="1" outline="0" axis="axisValues" fieldPosition="0"/>
    </format>
    <format dxfId="16">
      <pivotArea field="3" type="button" dataOnly="0" labelOnly="1" outline="0" axis="axisRow" fieldPosition="0"/>
    </format>
    <format dxfId="15">
      <pivotArea dataOnly="0" labelOnly="1" outline="0" axis="axisValues" fieldPosition="0"/>
    </format>
    <format dxfId="14">
      <pivotArea grandRow="1" outline="0" collapsedLevelsAreSubtotals="1" fieldPosition="0"/>
    </format>
    <format dxfId="13">
      <pivotArea dataOnly="0" labelOnly="1" grandRow="1" outline="0" fieldPosition="0"/>
    </format>
    <format dxfId="12">
      <pivotArea grandRow="1" outline="0" collapsedLevelsAreSubtotals="1" fieldPosition="0"/>
    </format>
    <format dxfId="11">
      <pivotArea dataOnly="0" labelOnly="1" grandRow="1" outline="0" fieldPosition="0"/>
    </format>
    <format dxfId="10">
      <pivotArea field="3" type="button" dataOnly="0" labelOnly="1" outline="0" axis="axisRow" fieldPosition="0"/>
    </format>
    <format dxfId="9">
      <pivotArea dataOnly="0" labelOnly="1" outline="0" axis="axisValues" fieldPosition="0"/>
    </format>
    <format dxfId="8">
      <pivotArea collapsedLevelsAreSubtotals="1" fieldPosition="0">
        <references count="1">
          <reference field="3" count="0"/>
        </references>
      </pivotArea>
    </format>
    <format dxfId="7">
      <pivotArea dataOnly="0" labelOnly="1" fieldPosition="0">
        <references count="1">
          <reference field="3" count="0"/>
        </references>
      </pivotArea>
    </format>
    <format dxfId="6">
      <pivotArea collapsedLevelsAreSubtotals="1" fieldPosition="0">
        <references count="1">
          <reference field="3" count="0"/>
        </references>
      </pivotArea>
    </format>
    <format dxfId="5">
      <pivotArea dataOnly="0" labelOnly="1" fieldPosition="0">
        <references count="1">
          <reference field="3" count="0"/>
        </references>
      </pivotArea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A17:D80" totalsRowShown="0" dataDxfId="4">
  <autoFilter ref="A17:D80"/>
  <tableColumns count="4">
    <tableColumn id="1" name="Statut" dataDxfId="3"/>
    <tableColumn id="2" name="Date" dataDxfId="2"/>
    <tableColumn id="3" name="Nom" dataDxfId="1">
      <calculatedColumnFormula>B18+C17</calculatedColumnFormula>
    </tableColumn>
    <tableColumn id="4" name="Catégorie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ursorama.com/bourse/opcvm/opcvm.phtml?symbole=0P0000YAD1" TargetMode="External"/><Relationship Id="rId13" Type="http://schemas.openxmlformats.org/officeDocument/2006/relationships/hyperlink" Target="http://www.boursorama.com/bourse/opcvm/opcvm.phtml?symbole=0P00018DYB" TargetMode="External"/><Relationship Id="rId3" Type="http://schemas.openxmlformats.org/officeDocument/2006/relationships/hyperlink" Target="http://www.boursorama.com/bourse/opcvm/opcvm.phtml?symbole=MP-228322" TargetMode="External"/><Relationship Id="rId7" Type="http://schemas.openxmlformats.org/officeDocument/2006/relationships/hyperlink" Target="http://www.boursorama.com/bourse/opcvm/opcvm.phtml?symbole=MP-807388" TargetMode="External"/><Relationship Id="rId12" Type="http://schemas.openxmlformats.org/officeDocument/2006/relationships/hyperlink" Target="http://www.boursorama.com/bourse/opcvm/opcvm.phtml?symbole=MP-802757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://www.boursorama.com/bourse/opcvm/opcvm.phtml?symbole=MP-807288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boursorama.com/bourse/opcvm/opcvm.phtml?symbole=MP-828069" TargetMode="External"/><Relationship Id="rId6" Type="http://schemas.openxmlformats.org/officeDocument/2006/relationships/hyperlink" Target="http://www.boursorama.com/bourse/opcvm/opcvm.phtml?symbole=MP-803544" TargetMode="External"/><Relationship Id="rId11" Type="http://schemas.openxmlformats.org/officeDocument/2006/relationships/hyperlink" Target="http://www.boursorama.com/bourse/opcvm/opcvm.phtml?symbole=0P00015MBL" TargetMode="External"/><Relationship Id="rId5" Type="http://schemas.openxmlformats.org/officeDocument/2006/relationships/hyperlink" Target="http://www.boursorama.com/bourse/opcvm/opcvm.phtml?symbole=MP-806533" TargetMode="External"/><Relationship Id="rId15" Type="http://schemas.openxmlformats.org/officeDocument/2006/relationships/hyperlink" Target="https://www.boursorama.com/bourse/opcvm/cours/MP-803531/" TargetMode="External"/><Relationship Id="rId10" Type="http://schemas.openxmlformats.org/officeDocument/2006/relationships/hyperlink" Target="http://www.boursorama.com/bourse/opcvm/opcvm.phtml?symbole=0P000111GL" TargetMode="External"/><Relationship Id="rId4" Type="http://schemas.openxmlformats.org/officeDocument/2006/relationships/hyperlink" Target="http://www.boursorama.com/bourse/opcvm/opcvm.phtml?symbole=MP-119964" TargetMode="External"/><Relationship Id="rId9" Type="http://schemas.openxmlformats.org/officeDocument/2006/relationships/hyperlink" Target="http://www.boursorama.com/bourse/opcvm/opcvm.phtml?symbole=0P00013YF0" TargetMode="External"/><Relationship Id="rId14" Type="http://schemas.openxmlformats.org/officeDocument/2006/relationships/hyperlink" Target="https://www.boursorama.com/bourse/opcvm/cours/0P00019C2A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I125"/>
  <sheetViews>
    <sheetView showGridLines="0" showRowColHeaders="0" tabSelected="1" workbookViewId="0">
      <pane xSplit="4" ySplit="3" topLeftCell="E4" activePane="bottomRight" state="frozen"/>
      <selection pane="topRight" activeCell="E1" sqref="E1"/>
      <selection pane="bottomLeft" activeCell="A8" sqref="A8"/>
      <selection pane="bottomRight"/>
    </sheetView>
  </sheetViews>
  <sheetFormatPr baseColWidth="10" defaultColWidth="9.08984375" defaultRowHeight="13" x14ac:dyDescent="0.3"/>
  <cols>
    <col min="1" max="1" width="27.1796875" style="3" customWidth="1"/>
    <col min="2" max="2" width="13.1796875" style="3" hidden="1" customWidth="1"/>
    <col min="3" max="3" width="47.1796875" style="3" hidden="1" customWidth="1"/>
    <col min="4" max="4" width="8.36328125" style="4" bestFit="1" customWidth="1"/>
    <col min="5" max="5" width="3.81640625" style="4" hidden="1" customWidth="1"/>
    <col min="6" max="6" width="7.453125" style="8" hidden="1" customWidth="1"/>
    <col min="7" max="7" width="8.36328125" style="4" bestFit="1" customWidth="1"/>
    <col min="8" max="8" width="9.08984375" style="3" hidden="1" customWidth="1"/>
    <col min="9" max="9" width="8.36328125" style="3" bestFit="1" customWidth="1"/>
    <col min="10" max="10" width="6.81640625" style="3" bestFit="1" customWidth="1"/>
    <col min="11" max="11" width="5.81640625" style="3" customWidth="1"/>
    <col min="12" max="12" width="0.453125" style="3" customWidth="1"/>
    <col min="13" max="13" width="8.36328125" style="3" hidden="1" customWidth="1"/>
    <col min="14" max="14" width="8.453125" style="3" hidden="1" customWidth="1"/>
    <col min="15" max="15" width="6.81640625" style="3" hidden="1" customWidth="1"/>
    <col min="16" max="16" width="8.984375E-2" style="3" customWidth="1"/>
    <col min="17" max="17" width="8.36328125" style="3" customWidth="1"/>
    <col min="18" max="18" width="8.453125" style="3" bestFit="1" customWidth="1"/>
    <col min="19" max="19" width="6.81640625" style="3" customWidth="1"/>
    <col min="20" max="20" width="8.984375E-2" style="3" customWidth="1"/>
    <col min="21" max="21" width="8.36328125" style="3" customWidth="1"/>
    <col min="22" max="22" width="8.453125" style="3" bestFit="1" customWidth="1"/>
    <col min="23" max="23" width="7.81640625" style="3" customWidth="1"/>
    <col min="24" max="24" width="8.984375E-2" style="3" customWidth="1"/>
    <col min="25" max="25" width="8.36328125" style="3" customWidth="1"/>
    <col min="26" max="26" width="7.81640625" style="3" bestFit="1" customWidth="1"/>
    <col min="27" max="27" width="7.81640625" style="3" customWidth="1"/>
    <col min="28" max="28" width="8.984375E-2" style="3" customWidth="1"/>
    <col min="29" max="29" width="8.08984375" style="3" customWidth="1"/>
    <col min="30" max="30" width="8.984375E-2" style="3" customWidth="1"/>
    <col min="31" max="31" width="6.81640625" style="3" bestFit="1" customWidth="1"/>
    <col min="32" max="32" width="6.81640625" style="3" hidden="1" customWidth="1"/>
    <col min="33" max="33" width="7.81640625" style="3" hidden="1" customWidth="1"/>
    <col min="34" max="34" width="8.984375E-2" style="3" customWidth="1"/>
    <col min="35" max="35" width="6.1796875" style="61" bestFit="1" customWidth="1"/>
    <col min="36" max="16384" width="9.08984375" style="3"/>
  </cols>
  <sheetData>
    <row r="1" spans="1:35" s="50" customFormat="1" ht="18" x14ac:dyDescent="0.55000000000000004">
      <c r="A1" s="160">
        <v>0.185</v>
      </c>
      <c r="B1" s="145"/>
      <c r="C1" s="145"/>
      <c r="D1" s="185">
        <f>IF(a=0,"",G25)</f>
        <v>22111.304000600001</v>
      </c>
      <c r="E1" s="185"/>
      <c r="F1" s="185"/>
      <c r="G1" s="185"/>
      <c r="H1" s="145"/>
      <c r="I1" s="146" t="str">
        <f>IF(a=0,"",IF(AF1&gt;0,"Gains","Pertes"))</f>
        <v>Gains</v>
      </c>
      <c r="J1" s="187">
        <f>IF(a=0,"",AF1)</f>
        <v>28.836710999999756</v>
      </c>
      <c r="K1" s="188"/>
      <c r="L1" s="49"/>
      <c r="M1" s="186" t="str">
        <f>IF('Cours (2)'!G3=0,"","Cours au 31/12/2019")</f>
        <v>Cours au 31/12/2019</v>
      </c>
      <c r="N1" s="186"/>
      <c r="O1" s="186"/>
      <c r="P1" s="186"/>
      <c r="Q1" s="182" t="str">
        <f>IF('Cours (2)'!G3=0,"","Cours au 31/12/2018")</f>
        <v>Cours au 31/12/2018</v>
      </c>
      <c r="R1" s="183"/>
      <c r="S1" s="183"/>
      <c r="T1" s="184"/>
      <c r="U1" s="179" t="str">
        <f>IF('Cours (2)'!G3=0,"","Cours au 31/12/2017")</f>
        <v>Cours au 31/12/2017</v>
      </c>
      <c r="V1" s="180"/>
      <c r="W1" s="180"/>
      <c r="X1" s="181"/>
      <c r="Y1" s="176" t="str">
        <f>IF('Cours (2)'!G3=0,"","Cours au 31/12/2016")</f>
        <v>Cours au 31/12/2016</v>
      </c>
      <c r="Z1" s="177"/>
      <c r="AA1" s="178"/>
      <c r="AB1" s="27"/>
      <c r="AC1" s="27"/>
      <c r="AD1" s="27"/>
      <c r="AE1" s="27"/>
      <c r="AF1" s="127">
        <f>SUM(AF4:AF21)</f>
        <v>28.836710999999756</v>
      </c>
      <c r="AI1" s="60"/>
    </row>
    <row r="2" spans="1:35" ht="3" customHeight="1" x14ac:dyDescent="0.45">
      <c r="A2" s="12"/>
      <c r="B2" s="12"/>
      <c r="C2" s="12"/>
      <c r="D2"/>
      <c r="E2" s="12"/>
      <c r="F2" s="25"/>
      <c r="G2" s="24"/>
      <c r="H2" s="12"/>
      <c r="I2" s="12"/>
      <c r="J2" s="12"/>
      <c r="K2" s="12"/>
      <c r="L2" s="12"/>
      <c r="M2" s="20"/>
      <c r="N2" s="12"/>
      <c r="O2" s="12"/>
      <c r="P2" s="12"/>
      <c r="Q2" s="20"/>
      <c r="R2" s="12"/>
      <c r="S2" s="12"/>
      <c r="T2" s="12"/>
      <c r="U2" s="20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</row>
    <row r="3" spans="1:35" s="5" customFormat="1" ht="38.9" customHeight="1" thickBot="1" x14ac:dyDescent="0.4">
      <c r="A3" s="6"/>
      <c r="B3" s="6" t="s">
        <v>0</v>
      </c>
      <c r="C3" s="6" t="s">
        <v>1</v>
      </c>
      <c r="D3"/>
      <c r="E3" s="12"/>
      <c r="F3" s="9" t="s">
        <v>12</v>
      </c>
      <c r="G3" s="51">
        <v>1</v>
      </c>
      <c r="H3" s="6"/>
      <c r="I3" s="62" t="s">
        <v>27</v>
      </c>
      <c r="J3" s="62" t="s">
        <v>28</v>
      </c>
      <c r="K3" s="135" t="s">
        <v>76</v>
      </c>
      <c r="L3" s="11"/>
      <c r="M3" s="69" t="s">
        <v>57</v>
      </c>
      <c r="N3" s="70" t="s">
        <v>38</v>
      </c>
      <c r="O3" s="134" t="s">
        <v>80</v>
      </c>
      <c r="P3" s="6"/>
      <c r="Q3" s="79" t="s">
        <v>26</v>
      </c>
      <c r="R3" s="80" t="s">
        <v>37</v>
      </c>
      <c r="S3" s="133" t="s">
        <v>78</v>
      </c>
      <c r="T3" s="6"/>
      <c r="U3" s="90" t="s">
        <v>25</v>
      </c>
      <c r="V3" s="91" t="s">
        <v>36</v>
      </c>
      <c r="W3" s="132" t="s">
        <v>77</v>
      </c>
      <c r="X3" s="6"/>
      <c r="Y3" s="101" t="s">
        <v>24</v>
      </c>
      <c r="Z3" s="102" t="s">
        <v>58</v>
      </c>
      <c r="AA3" s="131" t="s">
        <v>79</v>
      </c>
      <c r="AB3" s="6"/>
      <c r="AC3" s="115" t="s">
        <v>81</v>
      </c>
      <c r="AD3" s="6"/>
      <c r="AE3" s="119" t="s">
        <v>55</v>
      </c>
      <c r="AF3" s="120" t="s">
        <v>82</v>
      </c>
      <c r="AI3" s="167" t="s">
        <v>75</v>
      </c>
    </row>
    <row r="4" spans="1:35" s="12" customFormat="1" ht="15.75" customHeight="1" x14ac:dyDescent="0.45">
      <c r="A4" s="7" t="s">
        <v>30</v>
      </c>
      <c r="B4" s="12" t="s">
        <v>15</v>
      </c>
      <c r="C4" s="13" t="s">
        <v>51</v>
      </c>
      <c r="D4">
        <v>898.68</v>
      </c>
      <c r="F4" s="14">
        <f>'Cours (2)'!AE4</f>
        <v>7.0057999999999998</v>
      </c>
      <c r="G4" s="161">
        <f t="shared" ref="G4:G21" si="0">IF(a=0,"",D4*F4)</f>
        <v>6295.9723439999998</v>
      </c>
      <c r="H4" s="15"/>
      <c r="I4" s="63">
        <v>897.99</v>
      </c>
      <c r="J4" s="112">
        <f t="shared" ref="J4:J21" si="1">D4-I4</f>
        <v>0.68999999999994088</v>
      </c>
      <c r="K4" s="64">
        <f t="shared" ref="K4:K21" si="2">J4/D4</f>
        <v>7.6779276271858826E-4</v>
      </c>
      <c r="L4" s="32"/>
      <c r="M4" s="71">
        <f>D4</f>
        <v>898.68</v>
      </c>
      <c r="N4" s="72">
        <f>D4-M4</f>
        <v>0</v>
      </c>
      <c r="O4" s="73">
        <f t="shared" ref="O4:O21" si="3">N4/M4</f>
        <v>0</v>
      </c>
      <c r="Q4" s="81">
        <v>868.16</v>
      </c>
      <c r="R4" s="82">
        <f t="shared" ref="R4:R21" si="4">D4-Q4</f>
        <v>30.519999999999982</v>
      </c>
      <c r="S4" s="83">
        <f>R4/Q4</f>
        <v>3.5154810173239938E-2</v>
      </c>
      <c r="U4" s="92">
        <v>945.31700000000001</v>
      </c>
      <c r="V4" s="93">
        <f t="shared" ref="V4:V21" si="5">D4-U4</f>
        <v>-46.637000000000057</v>
      </c>
      <c r="W4" s="94">
        <f>V4/U4</f>
        <v>-4.9334773414632403E-2</v>
      </c>
      <c r="Y4" s="103">
        <v>984.25</v>
      </c>
      <c r="Z4" s="104">
        <f>D4-Y4</f>
        <v>-85.57000000000005</v>
      </c>
      <c r="AA4" s="105">
        <f>(D4-Y4)/Y4</f>
        <v>-8.6939293878587814E-2</v>
      </c>
      <c r="AC4" s="116">
        <f t="shared" ref="AC4:AC21" si="6">(D4-Y4)/Y4</f>
        <v>-8.6939293878587814E-2</v>
      </c>
      <c r="AE4" s="164">
        <v>7.0057999999999998</v>
      </c>
      <c r="AF4" s="121">
        <f>J4*AE4</f>
        <v>4.834001999999586</v>
      </c>
      <c r="AG4" s="122" t="str">
        <f>IF(AC4&gt;0%,"En Gain","En Perte")</f>
        <v>En Perte</v>
      </c>
      <c r="AH4" s="31"/>
      <c r="AI4" s="128">
        <f t="shared" ref="AI4:AI21" si="7">IF(a=0,"",G4/d)</f>
        <v>0.28473998384849469</v>
      </c>
    </row>
    <row r="5" spans="1:35" s="12" customFormat="1" ht="14.25" x14ac:dyDescent="0.45">
      <c r="A5" s="7" t="s">
        <v>61</v>
      </c>
      <c r="B5" s="35" t="s">
        <v>59</v>
      </c>
      <c r="C5" s="36" t="s">
        <v>60</v>
      </c>
      <c r="D5">
        <v>9.7899999999999991</v>
      </c>
      <c r="F5" s="17">
        <f>'Cours (2)'!AE5</f>
        <v>47.713299999999997</v>
      </c>
      <c r="G5" s="162">
        <f t="shared" si="0"/>
        <v>467.11320699999993</v>
      </c>
      <c r="H5" s="15"/>
      <c r="I5" s="65">
        <v>9.57</v>
      </c>
      <c r="J5" s="113">
        <f t="shared" si="1"/>
        <v>0.21999999999999886</v>
      </c>
      <c r="K5" s="66">
        <f t="shared" si="2"/>
        <v>2.2471910112359435E-2</v>
      </c>
      <c r="L5" s="32"/>
      <c r="M5" s="74">
        <f>D5</f>
        <v>9.7899999999999991</v>
      </c>
      <c r="N5" s="33">
        <f>D5-M5</f>
        <v>0</v>
      </c>
      <c r="O5" s="75">
        <f t="shared" si="3"/>
        <v>0</v>
      </c>
      <c r="Q5" s="84">
        <v>8.9</v>
      </c>
      <c r="R5" s="18">
        <f t="shared" si="4"/>
        <v>0.88999999999999879</v>
      </c>
      <c r="S5" s="85">
        <f t="shared" ref="S5:S21" si="8">R5/Q5</f>
        <v>9.9999999999999867E-2</v>
      </c>
      <c r="U5" s="95">
        <v>14.143000000000001</v>
      </c>
      <c r="V5" s="19">
        <f t="shared" si="5"/>
        <v>-4.3530000000000015</v>
      </c>
      <c r="W5" s="96">
        <f t="shared" ref="W5:W21" si="9">V5/U5</f>
        <v>-0.30778476985080966</v>
      </c>
      <c r="Y5" s="106">
        <v>12.0595</v>
      </c>
      <c r="Z5" s="10">
        <f>D5-Y5</f>
        <v>-2.2695000000000007</v>
      </c>
      <c r="AA5" s="107">
        <f>(D5-Y5)/Y5</f>
        <v>-0.18819188191881925</v>
      </c>
      <c r="AC5" s="117">
        <f t="shared" si="6"/>
        <v>-0.18819188191881925</v>
      </c>
      <c r="AE5" s="165">
        <v>47.713299999999997</v>
      </c>
      <c r="AF5" s="123">
        <f t="shared" ref="AF5:AF21" si="10">J5*AE5</f>
        <v>10.496925999999945</v>
      </c>
      <c r="AG5" s="124" t="str">
        <f t="shared" ref="AG5:AG20" si="11">IF(AC5&gt;0%,"En Gain","En Perte")</f>
        <v>En Perte</v>
      </c>
      <c r="AH5" s="31"/>
      <c r="AI5" s="129">
        <f t="shared" si="7"/>
        <v>2.112553863794395E-2</v>
      </c>
    </row>
    <row r="6" spans="1:35" s="12" customFormat="1" ht="14.25" x14ac:dyDescent="0.45">
      <c r="A6" s="7" t="s">
        <v>31</v>
      </c>
      <c r="B6" s="16" t="s">
        <v>2</v>
      </c>
      <c r="C6" s="13" t="s">
        <v>50</v>
      </c>
      <c r="D6">
        <v>45.53</v>
      </c>
      <c r="F6" s="17">
        <f>'Cours (2)'!AE6</f>
        <v>25.0702</v>
      </c>
      <c r="G6" s="162">
        <f t="shared" si="0"/>
        <v>1141.4462060000001</v>
      </c>
      <c r="H6" s="15"/>
      <c r="I6" s="65">
        <v>45.47</v>
      </c>
      <c r="J6" s="113">
        <f t="shared" si="1"/>
        <v>6.0000000000002274E-2</v>
      </c>
      <c r="K6" s="66">
        <f t="shared" si="2"/>
        <v>1.3178124313639858E-3</v>
      </c>
      <c r="L6" s="32"/>
      <c r="M6" s="74">
        <f t="shared" ref="M6:M20" si="12">D6</f>
        <v>45.53</v>
      </c>
      <c r="N6" s="33">
        <f t="shared" ref="N6:N20" si="13">D6-M6</f>
        <v>0</v>
      </c>
      <c r="O6" s="75">
        <f t="shared" si="3"/>
        <v>0</v>
      </c>
      <c r="Q6" s="84">
        <v>44.18</v>
      </c>
      <c r="R6" s="18">
        <f t="shared" si="4"/>
        <v>1.3500000000000014</v>
      </c>
      <c r="S6" s="85">
        <f t="shared" si="8"/>
        <v>3.0556813037573596E-2</v>
      </c>
      <c r="U6" s="95">
        <v>49.9</v>
      </c>
      <c r="V6" s="19">
        <f t="shared" si="5"/>
        <v>-4.3699999999999974</v>
      </c>
      <c r="W6" s="96">
        <f t="shared" si="9"/>
        <v>-8.7575150300601159E-2</v>
      </c>
      <c r="Y6" s="106">
        <v>46.6</v>
      </c>
      <c r="Z6" s="10">
        <f t="shared" ref="Z6:Z20" si="14">D6-Y6</f>
        <v>-1.0700000000000003</v>
      </c>
      <c r="AA6" s="107">
        <f t="shared" ref="AA6:AA20" si="15">(D6-Y6)/Y6</f>
        <v>-2.2961373390557944E-2</v>
      </c>
      <c r="AC6" s="117">
        <f t="shared" si="6"/>
        <v>-2.2961373390557944E-2</v>
      </c>
      <c r="AE6" s="165">
        <v>25.0702</v>
      </c>
      <c r="AF6" s="123">
        <f t="shared" si="10"/>
        <v>1.5042120000000569</v>
      </c>
      <c r="AG6" s="124" t="str">
        <f t="shared" si="11"/>
        <v>En Perte</v>
      </c>
      <c r="AH6" s="31"/>
      <c r="AI6" s="129">
        <f t="shared" si="7"/>
        <v>5.1622744907718981E-2</v>
      </c>
    </row>
    <row r="7" spans="1:35" s="12" customFormat="1" ht="14.25" x14ac:dyDescent="0.45">
      <c r="A7" s="7" t="s">
        <v>53</v>
      </c>
      <c r="B7" s="37" t="s">
        <v>52</v>
      </c>
      <c r="C7" s="13" t="s">
        <v>54</v>
      </c>
      <c r="D7">
        <v>113.55</v>
      </c>
      <c r="F7" s="17">
        <f>'Cours (2)'!AE7</f>
        <v>4.899</v>
      </c>
      <c r="G7" s="162">
        <f t="shared" si="0"/>
        <v>556.28144999999995</v>
      </c>
      <c r="H7" s="15"/>
      <c r="I7" s="65">
        <v>113.5</v>
      </c>
      <c r="J7" s="113">
        <f t="shared" si="1"/>
        <v>4.9999999999997158E-2</v>
      </c>
      <c r="K7" s="66">
        <f t="shared" si="2"/>
        <v>4.4033465433727134E-4</v>
      </c>
      <c r="L7" s="32"/>
      <c r="M7" s="74">
        <f t="shared" si="12"/>
        <v>113.55</v>
      </c>
      <c r="N7" s="33">
        <f t="shared" si="13"/>
        <v>0</v>
      </c>
      <c r="O7" s="75">
        <f t="shared" si="3"/>
        <v>0</v>
      </c>
      <c r="Q7" s="84">
        <v>113.97</v>
      </c>
      <c r="R7" s="18">
        <f t="shared" si="4"/>
        <v>-0.42000000000000171</v>
      </c>
      <c r="S7" s="85">
        <f t="shared" si="8"/>
        <v>-3.6851803106080698E-3</v>
      </c>
      <c r="U7" s="95">
        <v>127.98</v>
      </c>
      <c r="V7" s="19">
        <f t="shared" si="5"/>
        <v>-14.430000000000007</v>
      </c>
      <c r="W7" s="96">
        <f t="shared" si="9"/>
        <v>-0.11275199249882799</v>
      </c>
      <c r="Y7" s="106">
        <v>120.9</v>
      </c>
      <c r="Z7" s="10">
        <f t="shared" si="14"/>
        <v>-7.3500000000000085</v>
      </c>
      <c r="AA7" s="107">
        <f t="shared" si="15"/>
        <v>-6.0794044665012474E-2</v>
      </c>
      <c r="AC7" s="117">
        <f t="shared" si="6"/>
        <v>-6.0794044665012474E-2</v>
      </c>
      <c r="AE7" s="165">
        <v>4.899</v>
      </c>
      <c r="AF7" s="123">
        <f t="shared" si="10"/>
        <v>0.24494999999998607</v>
      </c>
      <c r="AG7" s="124" t="str">
        <f t="shared" si="11"/>
        <v>En Perte</v>
      </c>
      <c r="AH7" s="31"/>
      <c r="AI7" s="129">
        <f t="shared" si="7"/>
        <v>2.5158238066145037E-2</v>
      </c>
    </row>
    <row r="8" spans="1:35" s="12" customFormat="1" ht="14.25" x14ac:dyDescent="0.45">
      <c r="A8" s="7" t="s">
        <v>32</v>
      </c>
      <c r="B8" s="12" t="s">
        <v>33</v>
      </c>
      <c r="C8" s="13" t="s">
        <v>49</v>
      </c>
      <c r="D8">
        <v>2529.0300000000002</v>
      </c>
      <c r="F8" s="17">
        <f>'Cours (2)'!AE8</f>
        <v>0.26569999999999999</v>
      </c>
      <c r="G8" s="162">
        <f t="shared" si="0"/>
        <v>671.96327100000008</v>
      </c>
      <c r="H8" s="15"/>
      <c r="I8" s="65">
        <v>2529.06</v>
      </c>
      <c r="J8" s="113">
        <f t="shared" si="1"/>
        <v>-2.9999999999745341E-2</v>
      </c>
      <c r="K8" s="66">
        <f t="shared" si="2"/>
        <v>-1.1862255489158032E-5</v>
      </c>
      <c r="L8" s="32"/>
      <c r="M8" s="74">
        <f t="shared" si="12"/>
        <v>2529.0300000000002</v>
      </c>
      <c r="N8" s="33">
        <f t="shared" si="13"/>
        <v>0</v>
      </c>
      <c r="O8" s="75">
        <f t="shared" si="3"/>
        <v>0</v>
      </c>
      <c r="P8" s="7"/>
      <c r="Q8" s="84">
        <v>2530.8000000000002</v>
      </c>
      <c r="R8" s="18">
        <f t="shared" si="4"/>
        <v>-1.7699999999999818</v>
      </c>
      <c r="S8" s="85">
        <f t="shared" si="8"/>
        <v>-6.99383594120429E-4</v>
      </c>
      <c r="T8" s="7"/>
      <c r="U8" s="95">
        <v>2543.8000000000002</v>
      </c>
      <c r="V8" s="19">
        <f t="shared" si="5"/>
        <v>-14.769999999999982</v>
      </c>
      <c r="W8" s="96">
        <f t="shared" si="9"/>
        <v>-5.8062740781507907E-3</v>
      </c>
      <c r="X8" s="7"/>
      <c r="Y8" s="106">
        <v>2553.6</v>
      </c>
      <c r="Z8" s="10">
        <f t="shared" si="14"/>
        <v>-24.569999999999709</v>
      </c>
      <c r="AA8" s="107">
        <f t="shared" si="15"/>
        <v>-9.6217105263156754E-3</v>
      </c>
      <c r="AC8" s="117">
        <f t="shared" si="6"/>
        <v>-9.6217105263156754E-3</v>
      </c>
      <c r="AE8" s="165">
        <v>0.26569999999999999</v>
      </c>
      <c r="AF8" s="123">
        <f t="shared" si="10"/>
        <v>-7.9709999999323378E-3</v>
      </c>
      <c r="AG8" s="124" t="str">
        <f t="shared" si="11"/>
        <v>En Perte</v>
      </c>
      <c r="AH8" s="31"/>
      <c r="AI8" s="129">
        <f t="shared" si="7"/>
        <v>3.0390033576570882E-2</v>
      </c>
    </row>
    <row r="9" spans="1:35" s="12" customFormat="1" ht="14.25" x14ac:dyDescent="0.45">
      <c r="A9" s="7" t="s">
        <v>3</v>
      </c>
      <c r="B9" s="12" t="s">
        <v>4</v>
      </c>
      <c r="C9" s="13" t="s">
        <v>48</v>
      </c>
      <c r="D9">
        <v>258.51</v>
      </c>
      <c r="F9" s="17">
        <f>'Cours (2)'!AE9</f>
        <v>2.3369</v>
      </c>
      <c r="G9" s="162">
        <f t="shared" si="0"/>
        <v>604.11201899999992</v>
      </c>
      <c r="H9" s="15"/>
      <c r="I9" s="65">
        <v>257.48</v>
      </c>
      <c r="J9" s="113">
        <f t="shared" si="1"/>
        <v>1.0299999999999727</v>
      </c>
      <c r="K9" s="66">
        <f t="shared" si="2"/>
        <v>3.9843719778730911E-3</v>
      </c>
      <c r="L9" s="32"/>
      <c r="M9" s="74">
        <f t="shared" si="12"/>
        <v>258.51</v>
      </c>
      <c r="N9" s="33">
        <f t="shared" si="13"/>
        <v>0</v>
      </c>
      <c r="O9" s="75">
        <f t="shared" si="3"/>
        <v>0</v>
      </c>
      <c r="Q9" s="84">
        <v>232.3</v>
      </c>
      <c r="R9" s="18">
        <f t="shared" si="4"/>
        <v>26.20999999999998</v>
      </c>
      <c r="S9" s="85">
        <f t="shared" si="8"/>
        <v>0.1128282393456736</v>
      </c>
      <c r="U9" s="95">
        <v>278.3</v>
      </c>
      <c r="V9" s="19">
        <f t="shared" si="5"/>
        <v>-19.79000000000002</v>
      </c>
      <c r="W9" s="96">
        <f t="shared" si="9"/>
        <v>-7.1110312612288964E-2</v>
      </c>
      <c r="Y9" s="106">
        <v>237.7</v>
      </c>
      <c r="Z9" s="10">
        <f t="shared" si="14"/>
        <v>20.810000000000002</v>
      </c>
      <c r="AA9" s="107">
        <f t="shared" si="15"/>
        <v>8.7547328565418608E-2</v>
      </c>
      <c r="AC9" s="117">
        <f t="shared" si="6"/>
        <v>8.7547328565418608E-2</v>
      </c>
      <c r="AE9" s="165">
        <v>2.3369</v>
      </c>
      <c r="AF9" s="123">
        <f t="shared" si="10"/>
        <v>2.4070069999999362</v>
      </c>
      <c r="AG9" s="124" t="str">
        <f t="shared" si="11"/>
        <v>En Gain</v>
      </c>
      <c r="AH9" s="31"/>
      <c r="AI9" s="129">
        <f t="shared" si="7"/>
        <v>2.7321410758207976E-2</v>
      </c>
    </row>
    <row r="10" spans="1:35" s="12" customFormat="1" ht="14.25" x14ac:dyDescent="0.45">
      <c r="A10" s="7" t="s">
        <v>16</v>
      </c>
      <c r="B10" s="16" t="s">
        <v>5</v>
      </c>
      <c r="C10" s="13" t="s">
        <v>47</v>
      </c>
      <c r="D10">
        <v>19.89</v>
      </c>
      <c r="F10" s="17">
        <f>'Cours (2)'!AE10</f>
        <v>46.239199999999997</v>
      </c>
      <c r="G10" s="162">
        <f t="shared" si="0"/>
        <v>919.69768799999997</v>
      </c>
      <c r="H10" s="15"/>
      <c r="I10" s="65">
        <v>19.89</v>
      </c>
      <c r="J10" s="113">
        <f t="shared" si="1"/>
        <v>0</v>
      </c>
      <c r="K10" s="66">
        <f t="shared" si="2"/>
        <v>0</v>
      </c>
      <c r="L10" s="32"/>
      <c r="M10" s="74">
        <f t="shared" si="12"/>
        <v>19.89</v>
      </c>
      <c r="N10" s="33">
        <f t="shared" si="13"/>
        <v>0</v>
      </c>
      <c r="O10" s="75">
        <f t="shared" si="3"/>
        <v>0</v>
      </c>
      <c r="Q10" s="84">
        <v>19.29</v>
      </c>
      <c r="R10" s="18">
        <f t="shared" si="4"/>
        <v>0.60000000000000142</v>
      </c>
      <c r="S10" s="85">
        <f t="shared" si="8"/>
        <v>3.1104199066874103E-2</v>
      </c>
      <c r="U10" s="95">
        <v>20.292999999999999</v>
      </c>
      <c r="V10" s="19">
        <f t="shared" si="5"/>
        <v>-0.40299999999999869</v>
      </c>
      <c r="W10" s="96">
        <f t="shared" si="9"/>
        <v>-1.9859064702113967E-2</v>
      </c>
      <c r="Y10" s="106">
        <v>19.459599999999998</v>
      </c>
      <c r="Z10" s="10">
        <f t="shared" si="14"/>
        <v>0.43040000000000234</v>
      </c>
      <c r="AA10" s="107">
        <f t="shared" si="15"/>
        <v>2.2117618039425392E-2</v>
      </c>
      <c r="AC10" s="117">
        <f t="shared" si="6"/>
        <v>2.2117618039425392E-2</v>
      </c>
      <c r="AE10" s="165">
        <v>46.239199999999997</v>
      </c>
      <c r="AF10" s="123">
        <f t="shared" si="10"/>
        <v>0</v>
      </c>
      <c r="AG10" s="124" t="str">
        <f t="shared" si="11"/>
        <v>En Gain</v>
      </c>
      <c r="AH10" s="31"/>
      <c r="AI10" s="129">
        <f t="shared" si="7"/>
        <v>4.1594004947652273E-2</v>
      </c>
    </row>
    <row r="11" spans="1:35" s="12" customFormat="1" ht="14.25" x14ac:dyDescent="0.45">
      <c r="A11" s="7" t="s">
        <v>17</v>
      </c>
      <c r="B11" s="16" t="s">
        <v>13</v>
      </c>
      <c r="C11" s="13" t="s">
        <v>46</v>
      </c>
      <c r="D11">
        <v>1842.46</v>
      </c>
      <c r="F11" s="17">
        <f>'Cours (2)'!AE11</f>
        <v>0.63700000000000001</v>
      </c>
      <c r="G11" s="162">
        <f t="shared" si="0"/>
        <v>1173.6470200000001</v>
      </c>
      <c r="H11" s="15"/>
      <c r="I11" s="65">
        <v>1840.93</v>
      </c>
      <c r="J11" s="113">
        <f t="shared" si="1"/>
        <v>1.5299999999999727</v>
      </c>
      <c r="K11" s="66">
        <f t="shared" si="2"/>
        <v>8.3041151503966042E-4</v>
      </c>
      <c r="L11" s="32"/>
      <c r="M11" s="74">
        <f t="shared" si="12"/>
        <v>1842.46</v>
      </c>
      <c r="N11" s="33">
        <f t="shared" si="13"/>
        <v>0</v>
      </c>
      <c r="O11" s="75">
        <f t="shared" si="3"/>
        <v>0</v>
      </c>
      <c r="Q11" s="84">
        <v>1699.38</v>
      </c>
      <c r="R11" s="18">
        <f t="shared" si="4"/>
        <v>143.07999999999993</v>
      </c>
      <c r="S11" s="85">
        <f t="shared" si="8"/>
        <v>8.4195412444538542E-2</v>
      </c>
      <c r="U11" s="95">
        <v>1809.79</v>
      </c>
      <c r="V11" s="19">
        <f t="shared" si="5"/>
        <v>32.670000000000073</v>
      </c>
      <c r="W11" s="96">
        <f t="shared" si="9"/>
        <v>1.8051818166748668E-2</v>
      </c>
      <c r="Y11" s="106">
        <v>1618.82</v>
      </c>
      <c r="Z11" s="10">
        <f t="shared" si="14"/>
        <v>223.6400000000001</v>
      </c>
      <c r="AA11" s="107">
        <f t="shared" si="15"/>
        <v>0.13815001050147646</v>
      </c>
      <c r="AC11" s="117">
        <f t="shared" si="6"/>
        <v>0.13815001050147646</v>
      </c>
      <c r="AE11" s="165">
        <v>0.63700000000000001</v>
      </c>
      <c r="AF11" s="123">
        <f t="shared" si="10"/>
        <v>0.97460999999998266</v>
      </c>
      <c r="AG11" s="124" t="str">
        <f t="shared" si="11"/>
        <v>En Gain</v>
      </c>
      <c r="AH11" s="31"/>
      <c r="AI11" s="129">
        <f t="shared" si="7"/>
        <v>5.3079050424531843E-2</v>
      </c>
    </row>
    <row r="12" spans="1:35" s="12" customFormat="1" ht="14.25" x14ac:dyDescent="0.45">
      <c r="A12" s="7" t="s">
        <v>18</v>
      </c>
      <c r="B12" s="12" t="s">
        <v>6</v>
      </c>
      <c r="C12" s="13" t="s">
        <v>45</v>
      </c>
      <c r="D12">
        <v>16.48</v>
      </c>
      <c r="F12" s="17">
        <f>'Cours (2)'!AE12</f>
        <v>41.964500000000001</v>
      </c>
      <c r="G12" s="162">
        <f t="shared" si="0"/>
        <v>691.57496000000003</v>
      </c>
      <c r="H12" s="15"/>
      <c r="I12" s="65">
        <v>16.54</v>
      </c>
      <c r="J12" s="113">
        <f t="shared" si="1"/>
        <v>-5.9999999999998721E-2</v>
      </c>
      <c r="K12" s="66">
        <f t="shared" si="2"/>
        <v>-3.6407766990290487E-3</v>
      </c>
      <c r="L12" s="32"/>
      <c r="M12" s="74">
        <f t="shared" si="12"/>
        <v>16.48</v>
      </c>
      <c r="N12" s="33">
        <f t="shared" si="13"/>
        <v>0</v>
      </c>
      <c r="O12" s="75">
        <f t="shared" si="3"/>
        <v>0</v>
      </c>
      <c r="Q12" s="84">
        <v>15.81</v>
      </c>
      <c r="R12" s="18">
        <f t="shared" si="4"/>
        <v>0.66999999999999993</v>
      </c>
      <c r="S12" s="85">
        <f t="shared" si="8"/>
        <v>4.2378241619228332E-2</v>
      </c>
      <c r="U12" s="95">
        <v>16.78</v>
      </c>
      <c r="V12" s="19">
        <f t="shared" si="5"/>
        <v>-0.30000000000000071</v>
      </c>
      <c r="W12" s="96">
        <f t="shared" si="9"/>
        <v>-1.7878426698450578E-2</v>
      </c>
      <c r="Y12" s="106">
        <v>16.350000000000001</v>
      </c>
      <c r="Z12" s="10">
        <f t="shared" si="14"/>
        <v>0.12999999999999901</v>
      </c>
      <c r="AA12" s="107">
        <f t="shared" si="15"/>
        <v>7.9510703363913759E-3</v>
      </c>
      <c r="AC12" s="117">
        <f t="shared" si="6"/>
        <v>7.9510703363913759E-3</v>
      </c>
      <c r="AE12" s="165">
        <v>41.964500000000001</v>
      </c>
      <c r="AF12" s="123">
        <f t="shared" si="10"/>
        <v>-2.5178699999999465</v>
      </c>
      <c r="AG12" s="124" t="str">
        <f t="shared" si="11"/>
        <v>En Gain</v>
      </c>
      <c r="AH12" s="31"/>
      <c r="AI12" s="129">
        <f t="shared" si="7"/>
        <v>3.1276986648152177E-2</v>
      </c>
    </row>
    <row r="13" spans="1:35" s="12" customFormat="1" ht="14.25" x14ac:dyDescent="0.45">
      <c r="A13" s="7" t="s">
        <v>19</v>
      </c>
      <c r="B13" s="16" t="s">
        <v>7</v>
      </c>
      <c r="C13" s="13" t="s">
        <v>44</v>
      </c>
      <c r="D13">
        <v>177.61</v>
      </c>
      <c r="F13" s="17">
        <f>'Cours (2)'!AE13</f>
        <v>6.7523999999999997</v>
      </c>
      <c r="G13" s="162">
        <f t="shared" si="0"/>
        <v>1199.293764</v>
      </c>
      <c r="H13" s="15"/>
      <c r="I13" s="65">
        <v>176.97</v>
      </c>
      <c r="J13" s="113">
        <f t="shared" si="1"/>
        <v>0.64000000000001478</v>
      </c>
      <c r="K13" s="66">
        <f t="shared" si="2"/>
        <v>3.6034007094195978E-3</v>
      </c>
      <c r="L13" s="32"/>
      <c r="M13" s="74">
        <f t="shared" si="12"/>
        <v>177.61</v>
      </c>
      <c r="N13" s="33">
        <f t="shared" si="13"/>
        <v>0</v>
      </c>
      <c r="O13" s="75">
        <f t="shared" si="3"/>
        <v>0</v>
      </c>
      <c r="Q13" s="84">
        <v>158.88999999999999</v>
      </c>
      <c r="R13" s="18">
        <f t="shared" si="4"/>
        <v>18.720000000000027</v>
      </c>
      <c r="S13" s="85">
        <f t="shared" si="8"/>
        <v>0.11781735792057417</v>
      </c>
      <c r="U13" s="95">
        <v>195.67</v>
      </c>
      <c r="V13" s="19">
        <f t="shared" si="5"/>
        <v>-18.059999999999974</v>
      </c>
      <c r="W13" s="96">
        <f t="shared" si="9"/>
        <v>-9.2298257269893061E-2</v>
      </c>
      <c r="Y13" s="106">
        <v>169.73</v>
      </c>
      <c r="Z13" s="10">
        <f t="shared" si="14"/>
        <v>7.8800000000000239</v>
      </c>
      <c r="AA13" s="107">
        <f t="shared" si="15"/>
        <v>4.6426677664526156E-2</v>
      </c>
      <c r="AC13" s="117">
        <f t="shared" si="6"/>
        <v>4.6426677664526156E-2</v>
      </c>
      <c r="AE13" s="165">
        <v>6.7523999999999997</v>
      </c>
      <c r="AF13" s="123">
        <f t="shared" si="10"/>
        <v>4.3215360000000995</v>
      </c>
      <c r="AG13" s="124" t="str">
        <f t="shared" si="11"/>
        <v>En Gain</v>
      </c>
      <c r="AH13" s="31"/>
      <c r="AI13" s="129">
        <f t="shared" si="7"/>
        <v>5.4238943301012754E-2</v>
      </c>
    </row>
    <row r="14" spans="1:35" s="12" customFormat="1" ht="14.25" x14ac:dyDescent="0.45">
      <c r="A14" s="7" t="s">
        <v>20</v>
      </c>
      <c r="B14" s="16" t="s">
        <v>8</v>
      </c>
      <c r="C14" s="13" t="s">
        <v>43</v>
      </c>
      <c r="D14">
        <v>261.77999999999997</v>
      </c>
      <c r="F14" s="17">
        <f>'Cours (2)'!AE14</f>
        <v>4.8068999999999997</v>
      </c>
      <c r="G14" s="162">
        <f t="shared" si="0"/>
        <v>1258.3502819999999</v>
      </c>
      <c r="H14" s="15"/>
      <c r="I14" s="65">
        <v>261.52999999999997</v>
      </c>
      <c r="J14" s="113">
        <f t="shared" si="1"/>
        <v>0.25</v>
      </c>
      <c r="K14" s="66">
        <f t="shared" si="2"/>
        <v>9.5500038200015288E-4</v>
      </c>
      <c r="L14" s="32"/>
      <c r="M14" s="74">
        <f t="shared" si="12"/>
        <v>261.77999999999997</v>
      </c>
      <c r="N14" s="33">
        <f t="shared" si="13"/>
        <v>0</v>
      </c>
      <c r="O14" s="75">
        <f t="shared" si="3"/>
        <v>0</v>
      </c>
      <c r="Q14" s="84">
        <v>254.63</v>
      </c>
      <c r="R14" s="18">
        <f t="shared" si="4"/>
        <v>7.1499999999999773</v>
      </c>
      <c r="S14" s="85">
        <f t="shared" si="8"/>
        <v>2.8079959156422956E-2</v>
      </c>
      <c r="U14" s="95">
        <v>268.62</v>
      </c>
      <c r="V14" s="19">
        <f t="shared" si="5"/>
        <v>-6.8400000000000318</v>
      </c>
      <c r="W14" s="96">
        <f t="shared" si="9"/>
        <v>-2.5463480008934673E-2</v>
      </c>
      <c r="Y14" s="106">
        <v>263.49</v>
      </c>
      <c r="Z14" s="10">
        <f t="shared" si="14"/>
        <v>-1.7100000000000364</v>
      </c>
      <c r="AA14" s="107">
        <f t="shared" si="15"/>
        <v>-6.4898098599568722E-3</v>
      </c>
      <c r="AC14" s="117">
        <f t="shared" si="6"/>
        <v>-6.4898098599568722E-3</v>
      </c>
      <c r="AE14" s="165">
        <v>4.8068999999999997</v>
      </c>
      <c r="AF14" s="123">
        <f t="shared" si="10"/>
        <v>1.2017249999999999</v>
      </c>
      <c r="AG14" s="124" t="str">
        <f t="shared" si="11"/>
        <v>En Perte</v>
      </c>
      <c r="AH14" s="31"/>
      <c r="AI14" s="129">
        <f t="shared" si="7"/>
        <v>5.6909817800246149E-2</v>
      </c>
    </row>
    <row r="15" spans="1:35" s="12" customFormat="1" ht="14.25" x14ac:dyDescent="0.45">
      <c r="A15" s="7" t="s">
        <v>21</v>
      </c>
      <c r="B15" s="16" t="s">
        <v>9</v>
      </c>
      <c r="C15" s="13" t="s">
        <v>42</v>
      </c>
      <c r="D15">
        <v>1795.28</v>
      </c>
      <c r="F15" s="17">
        <f>'Cours (2)'!AE15</f>
        <v>0.26819999999999999</v>
      </c>
      <c r="G15" s="162">
        <f t="shared" si="0"/>
        <v>481.49409599999996</v>
      </c>
      <c r="H15" s="15"/>
      <c r="I15" s="65">
        <v>1788.88</v>
      </c>
      <c r="J15" s="113">
        <f t="shared" si="1"/>
        <v>6.3999999999998636</v>
      </c>
      <c r="K15" s="66">
        <f t="shared" si="2"/>
        <v>3.5649035247982842E-3</v>
      </c>
      <c r="L15" s="32"/>
      <c r="M15" s="74">
        <f t="shared" si="12"/>
        <v>1795.28</v>
      </c>
      <c r="N15" s="33">
        <f t="shared" si="13"/>
        <v>0</v>
      </c>
      <c r="O15" s="75">
        <f t="shared" si="3"/>
        <v>0</v>
      </c>
      <c r="Q15" s="84">
        <v>1594.26</v>
      </c>
      <c r="R15" s="18">
        <f t="shared" si="4"/>
        <v>201.01999999999998</v>
      </c>
      <c r="S15" s="85">
        <f t="shared" si="8"/>
        <v>0.12608984732728662</v>
      </c>
      <c r="U15" s="95">
        <v>1827.18</v>
      </c>
      <c r="V15" s="19">
        <f t="shared" si="5"/>
        <v>-31.900000000000091</v>
      </c>
      <c r="W15" s="96">
        <f t="shared" si="9"/>
        <v>-1.7458597401460222E-2</v>
      </c>
      <c r="Y15" s="106">
        <v>1805.67</v>
      </c>
      <c r="Z15" s="10">
        <f t="shared" si="14"/>
        <v>-10.3900000000001</v>
      </c>
      <c r="AA15" s="107">
        <f t="shared" si="15"/>
        <v>-5.7540968172479466E-3</v>
      </c>
      <c r="AC15" s="117">
        <f t="shared" si="6"/>
        <v>-5.7540968172479466E-3</v>
      </c>
      <c r="AE15" s="165">
        <v>0.26819999999999999</v>
      </c>
      <c r="AF15" s="123">
        <f t="shared" si="10"/>
        <v>1.7164799999999634</v>
      </c>
      <c r="AG15" s="124" t="str">
        <f t="shared" si="11"/>
        <v>En Perte</v>
      </c>
      <c r="AH15" s="31"/>
      <c r="AI15" s="129">
        <f t="shared" si="7"/>
        <v>2.1775924929028807E-2</v>
      </c>
    </row>
    <row r="16" spans="1:35" s="12" customFormat="1" ht="14.25" x14ac:dyDescent="0.45">
      <c r="A16" s="7" t="s">
        <v>89</v>
      </c>
      <c r="B16" s="12" t="s">
        <v>62</v>
      </c>
      <c r="C16" s="36" t="s">
        <v>63</v>
      </c>
      <c r="D16">
        <v>367.54</v>
      </c>
      <c r="F16" s="17">
        <f>'Cours (2)'!AE16</f>
        <v>1.9278</v>
      </c>
      <c r="G16" s="162">
        <f t="shared" si="0"/>
        <v>708.54361200000005</v>
      </c>
      <c r="H16" s="15"/>
      <c r="I16" s="65">
        <v>366.4</v>
      </c>
      <c r="J16" s="113">
        <f t="shared" si="1"/>
        <v>1.1400000000000432</v>
      </c>
      <c r="K16" s="66">
        <f t="shared" si="2"/>
        <v>3.1017032159766098E-3</v>
      </c>
      <c r="L16" s="32"/>
      <c r="M16" s="74">
        <f t="shared" si="12"/>
        <v>367.54</v>
      </c>
      <c r="N16" s="33">
        <f t="shared" si="13"/>
        <v>0</v>
      </c>
      <c r="O16" s="75">
        <f t="shared" si="3"/>
        <v>0</v>
      </c>
      <c r="Q16" s="84">
        <v>335.48</v>
      </c>
      <c r="R16" s="18">
        <f t="shared" si="4"/>
        <v>32.06</v>
      </c>
      <c r="S16" s="85">
        <f t="shared" si="8"/>
        <v>9.5564564206510078E-2</v>
      </c>
      <c r="U16" s="95">
        <v>450.01</v>
      </c>
      <c r="V16" s="19">
        <f t="shared" si="5"/>
        <v>-82.46999999999997</v>
      </c>
      <c r="W16" s="96">
        <f t="shared" si="9"/>
        <v>-0.18326259416457405</v>
      </c>
      <c r="Y16" s="106">
        <v>431.17</v>
      </c>
      <c r="Z16" s="10">
        <f t="shared" si="14"/>
        <v>-63.629999999999995</v>
      </c>
      <c r="AA16" s="107">
        <f t="shared" si="15"/>
        <v>-0.14757520235637914</v>
      </c>
      <c r="AC16" s="117">
        <f t="shared" si="6"/>
        <v>-0.14757520235637914</v>
      </c>
      <c r="AE16" s="165">
        <v>1.9278</v>
      </c>
      <c r="AF16" s="123">
        <f t="shared" si="10"/>
        <v>2.197692000000083</v>
      </c>
      <c r="AG16" s="124" t="str">
        <f t="shared" si="11"/>
        <v>En Perte</v>
      </c>
      <c r="AH16" s="31"/>
      <c r="AI16" s="129">
        <f t="shared" si="7"/>
        <v>3.2044406425816109E-2</v>
      </c>
    </row>
    <row r="17" spans="1:35" s="12" customFormat="1" ht="14.25" x14ac:dyDescent="0.45">
      <c r="A17" s="7" t="s">
        <v>22</v>
      </c>
      <c r="B17" s="16" t="s">
        <v>10</v>
      </c>
      <c r="C17" s="13" t="s">
        <v>41</v>
      </c>
      <c r="D17">
        <v>671.72</v>
      </c>
      <c r="F17" s="17">
        <f>'Cours (2)'!AE17</f>
        <v>0.91139999999999999</v>
      </c>
      <c r="G17" s="162">
        <f t="shared" si="0"/>
        <v>612.20560799999998</v>
      </c>
      <c r="H17" s="15"/>
      <c r="I17" s="65">
        <v>667.14</v>
      </c>
      <c r="J17" s="113">
        <f t="shared" si="1"/>
        <v>4.5800000000000409</v>
      </c>
      <c r="K17" s="66">
        <f t="shared" si="2"/>
        <v>6.8183171559579002E-3</v>
      </c>
      <c r="L17" s="32"/>
      <c r="M17" s="74">
        <f t="shared" si="12"/>
        <v>671.72</v>
      </c>
      <c r="N17" s="33">
        <f t="shared" si="13"/>
        <v>0</v>
      </c>
      <c r="O17" s="75">
        <f t="shared" si="3"/>
        <v>0</v>
      </c>
      <c r="Q17" s="84">
        <v>595.48</v>
      </c>
      <c r="R17" s="18">
        <f t="shared" si="4"/>
        <v>76.240000000000009</v>
      </c>
      <c r="S17" s="85">
        <f t="shared" si="8"/>
        <v>0.12803116813327065</v>
      </c>
      <c r="U17" s="95">
        <v>698.45</v>
      </c>
      <c r="V17" s="19">
        <f t="shared" si="5"/>
        <v>-26.730000000000018</v>
      </c>
      <c r="W17" s="96">
        <f t="shared" si="9"/>
        <v>-3.8270456009735866E-2</v>
      </c>
      <c r="Y17" s="106">
        <v>580.92999999999995</v>
      </c>
      <c r="Z17" s="10">
        <f t="shared" si="14"/>
        <v>90.790000000000077</v>
      </c>
      <c r="AA17" s="107">
        <f t="shared" si="15"/>
        <v>0.15628388962525619</v>
      </c>
      <c r="AC17" s="117">
        <f t="shared" si="6"/>
        <v>0.15628388962525619</v>
      </c>
      <c r="AE17" s="165">
        <v>0.91139999999999999</v>
      </c>
      <c r="AF17" s="123">
        <f t="shared" si="10"/>
        <v>4.1742120000000371</v>
      </c>
      <c r="AG17" s="124" t="str">
        <f t="shared" si="11"/>
        <v>En Gain</v>
      </c>
      <c r="AH17" s="31"/>
      <c r="AI17" s="129">
        <f t="shared" si="7"/>
        <v>2.7687449278585626E-2</v>
      </c>
    </row>
    <row r="18" spans="1:35" s="12" customFormat="1" ht="14.25" x14ac:dyDescent="0.45">
      <c r="A18" s="7" t="s">
        <v>23</v>
      </c>
      <c r="B18" s="16" t="s">
        <v>11</v>
      </c>
      <c r="C18" s="13" t="s">
        <v>40</v>
      </c>
      <c r="D18">
        <v>21793.91</v>
      </c>
      <c r="F18" s="17">
        <f>'Cours (2)'!AE18</f>
        <v>2.23E-2</v>
      </c>
      <c r="G18" s="162">
        <f t="shared" si="0"/>
        <v>486.00419299999999</v>
      </c>
      <c r="H18" s="15"/>
      <c r="I18" s="65">
        <v>21670.01</v>
      </c>
      <c r="J18" s="113">
        <f t="shared" si="1"/>
        <v>123.90000000000146</v>
      </c>
      <c r="K18" s="66">
        <f t="shared" si="2"/>
        <v>5.6850744084013128E-3</v>
      </c>
      <c r="L18" s="32"/>
      <c r="M18" s="74">
        <f t="shared" si="12"/>
        <v>21793.91</v>
      </c>
      <c r="N18" s="33">
        <f t="shared" si="13"/>
        <v>0</v>
      </c>
      <c r="O18" s="75">
        <f t="shared" si="3"/>
        <v>0</v>
      </c>
      <c r="Q18" s="84">
        <v>18948.53</v>
      </c>
      <c r="R18" s="18">
        <f t="shared" si="4"/>
        <v>2845.380000000001</v>
      </c>
      <c r="S18" s="85">
        <f t="shared" si="8"/>
        <v>0.15016362746872719</v>
      </c>
      <c r="U18" s="95">
        <v>19089.93</v>
      </c>
      <c r="V18" s="19">
        <f t="shared" si="5"/>
        <v>2703.9799999999996</v>
      </c>
      <c r="W18" s="96">
        <f t="shared" si="9"/>
        <v>0.1416443119487604</v>
      </c>
      <c r="Y18" s="106">
        <v>16640.48</v>
      </c>
      <c r="Z18" s="10">
        <f t="shared" si="14"/>
        <v>5153.43</v>
      </c>
      <c r="AA18" s="107">
        <f t="shared" si="15"/>
        <v>0.30969238868109578</v>
      </c>
      <c r="AC18" s="117">
        <f t="shared" si="6"/>
        <v>0.30969238868109578</v>
      </c>
      <c r="AE18" s="165">
        <v>2.23E-2</v>
      </c>
      <c r="AF18" s="123">
        <f t="shared" si="10"/>
        <v>2.7629700000000326</v>
      </c>
      <c r="AG18" s="124" t="str">
        <f t="shared" si="11"/>
        <v>En Gain</v>
      </c>
      <c r="AH18" s="31"/>
      <c r="AI18" s="129">
        <f t="shared" si="7"/>
        <v>2.1979897385826366E-2</v>
      </c>
    </row>
    <row r="19" spans="1:35" s="12" customFormat="1" ht="14.25" x14ac:dyDescent="0.45">
      <c r="A19" s="7" t="s">
        <v>35</v>
      </c>
      <c r="B19" s="16" t="s">
        <v>34</v>
      </c>
      <c r="C19" s="13" t="s">
        <v>39</v>
      </c>
      <c r="D19">
        <v>12.79</v>
      </c>
      <c r="F19" s="17">
        <f>'Cours (2)'!AE19</f>
        <v>54.737699999999997</v>
      </c>
      <c r="G19" s="162">
        <f t="shared" si="0"/>
        <v>700.09518299999991</v>
      </c>
      <c r="H19" s="15"/>
      <c r="I19" s="65">
        <v>12.89</v>
      </c>
      <c r="J19" s="113">
        <f t="shared" si="1"/>
        <v>-0.10000000000000142</v>
      </c>
      <c r="K19" s="66">
        <f t="shared" si="2"/>
        <v>-7.8186082877248972E-3</v>
      </c>
      <c r="L19" s="32"/>
      <c r="M19" s="74">
        <f t="shared" si="12"/>
        <v>12.79</v>
      </c>
      <c r="N19" s="33">
        <f t="shared" si="13"/>
        <v>0</v>
      </c>
      <c r="O19" s="75">
        <f t="shared" si="3"/>
        <v>0</v>
      </c>
      <c r="Q19" s="84">
        <v>11.49</v>
      </c>
      <c r="R19" s="18">
        <f t="shared" si="4"/>
        <v>1.2999999999999989</v>
      </c>
      <c r="S19" s="85">
        <f t="shared" si="8"/>
        <v>0.11314186248912088</v>
      </c>
      <c r="U19" s="95">
        <v>11.59</v>
      </c>
      <c r="V19" s="19">
        <f t="shared" si="5"/>
        <v>1.1999999999999993</v>
      </c>
      <c r="W19" s="96">
        <f t="shared" si="9"/>
        <v>0.1035375323554788</v>
      </c>
      <c r="Y19" s="106">
        <v>11.17</v>
      </c>
      <c r="Z19" s="10">
        <f t="shared" si="14"/>
        <v>1.6199999999999992</v>
      </c>
      <c r="AA19" s="107">
        <f t="shared" si="15"/>
        <v>0.14503133393017004</v>
      </c>
      <c r="AC19" s="117">
        <f t="shared" si="6"/>
        <v>0.14503133393017004</v>
      </c>
      <c r="AE19" s="165">
        <v>54.737699999999997</v>
      </c>
      <c r="AF19" s="123">
        <f t="shared" si="10"/>
        <v>-5.4737700000000773</v>
      </c>
      <c r="AG19" s="124" t="str">
        <f t="shared" si="11"/>
        <v>En Gain</v>
      </c>
      <c r="AH19" s="31"/>
      <c r="AI19" s="129">
        <f t="shared" si="7"/>
        <v>3.1662320005233634E-2</v>
      </c>
    </row>
    <row r="20" spans="1:35" s="12" customFormat="1" ht="12.75" x14ac:dyDescent="0.35">
      <c r="A20" s="7" t="s">
        <v>14</v>
      </c>
      <c r="D20" s="34">
        <v>1.0853999999999999</v>
      </c>
      <c r="E20" s="20"/>
      <c r="F20" s="17">
        <f>'Cours (2)'!AE20</f>
        <v>816.12900000000002</v>
      </c>
      <c r="G20" s="162">
        <f t="shared" si="0"/>
        <v>885.8264165999999</v>
      </c>
      <c r="H20" s="15"/>
      <c r="I20" s="148">
        <f>D20</f>
        <v>1.0853999999999999</v>
      </c>
      <c r="J20" s="113">
        <f t="shared" si="1"/>
        <v>0</v>
      </c>
      <c r="K20" s="66">
        <f t="shared" si="2"/>
        <v>0</v>
      </c>
      <c r="L20" s="32"/>
      <c r="M20" s="147">
        <f t="shared" si="12"/>
        <v>1.0853999999999999</v>
      </c>
      <c r="N20" s="33">
        <f t="shared" si="13"/>
        <v>0</v>
      </c>
      <c r="O20" s="75">
        <f t="shared" si="3"/>
        <v>0</v>
      </c>
      <c r="Q20" s="86">
        <v>1.0677000000000001</v>
      </c>
      <c r="R20" s="18">
        <f t="shared" si="4"/>
        <v>1.7699999999999827E-2</v>
      </c>
      <c r="S20" s="85">
        <f t="shared" si="8"/>
        <v>1.6577690362461203E-2</v>
      </c>
      <c r="U20" s="97">
        <v>1.0187999999999999</v>
      </c>
      <c r="V20" s="19">
        <f t="shared" si="5"/>
        <v>6.6599999999999993E-2</v>
      </c>
      <c r="W20" s="96">
        <f t="shared" si="9"/>
        <v>6.5371024734982325E-2</v>
      </c>
      <c r="Y20" s="108">
        <v>0.97640000000000005</v>
      </c>
      <c r="Z20" s="10">
        <f t="shared" si="14"/>
        <v>0.10899999999999987</v>
      </c>
      <c r="AA20" s="107">
        <f t="shared" si="15"/>
        <v>0.11163457599344517</v>
      </c>
      <c r="AC20" s="117">
        <f t="shared" si="6"/>
        <v>0.11163457599344517</v>
      </c>
      <c r="AE20" s="165">
        <v>816.12900000000002</v>
      </c>
      <c r="AF20" s="123">
        <f t="shared" si="10"/>
        <v>0</v>
      </c>
      <c r="AG20" s="124" t="str">
        <f t="shared" si="11"/>
        <v>En Gain</v>
      </c>
      <c r="AH20" s="31"/>
      <c r="AI20" s="129">
        <f t="shared" si="7"/>
        <v>4.0062151765267333E-2</v>
      </c>
    </row>
    <row r="21" spans="1:35" s="12" customFormat="1" ht="13.4" customHeight="1" thickBot="1" x14ac:dyDescent="0.4">
      <c r="A21" s="7" t="s">
        <v>29</v>
      </c>
      <c r="D21" s="21">
        <v>1524.49</v>
      </c>
      <c r="E21" s="20"/>
      <c r="F21" s="22">
        <f>'Cours (2)'!AE21</f>
        <v>2.1368999999999998</v>
      </c>
      <c r="G21" s="163">
        <f t="shared" si="0"/>
        <v>3257.6826809999998</v>
      </c>
      <c r="H21" s="23">
        <f>SUM(G4:G21)</f>
        <v>22111.304000600001</v>
      </c>
      <c r="I21" s="67">
        <v>1524.49</v>
      </c>
      <c r="J21" s="114">
        <f t="shared" si="1"/>
        <v>0</v>
      </c>
      <c r="K21" s="68">
        <f t="shared" si="2"/>
        <v>0</v>
      </c>
      <c r="L21" s="32"/>
      <c r="M21" s="76">
        <f>D21</f>
        <v>1524.49</v>
      </c>
      <c r="N21" s="77">
        <f>D21-M21</f>
        <v>0</v>
      </c>
      <c r="O21" s="78">
        <f t="shared" si="3"/>
        <v>0</v>
      </c>
      <c r="Q21" s="87">
        <v>1524.49</v>
      </c>
      <c r="R21" s="88">
        <f t="shared" si="4"/>
        <v>0</v>
      </c>
      <c r="S21" s="89">
        <f t="shared" si="8"/>
        <v>0</v>
      </c>
      <c r="U21" s="98">
        <v>1524.49</v>
      </c>
      <c r="V21" s="99">
        <f t="shared" si="5"/>
        <v>0</v>
      </c>
      <c r="W21" s="100">
        <f t="shared" si="9"/>
        <v>0</v>
      </c>
      <c r="Y21" s="109">
        <v>1524.49</v>
      </c>
      <c r="Z21" s="110">
        <v>0</v>
      </c>
      <c r="AA21" s="111">
        <v>0</v>
      </c>
      <c r="AC21" s="118">
        <f t="shared" si="6"/>
        <v>0</v>
      </c>
      <c r="AE21" s="166">
        <v>2.1368999999999998</v>
      </c>
      <c r="AF21" s="125">
        <f t="shared" si="10"/>
        <v>0</v>
      </c>
      <c r="AG21" s="126" t="s">
        <v>56</v>
      </c>
      <c r="AH21" s="31"/>
      <c r="AI21" s="130">
        <f t="shared" si="7"/>
        <v>0.14733109729356536</v>
      </c>
    </row>
    <row r="22" spans="1:35" ht="3" customHeight="1" x14ac:dyDescent="0.35">
      <c r="A22" s="12"/>
      <c r="B22" s="12"/>
      <c r="C22" s="12"/>
      <c r="D22" s="24"/>
      <c r="E22" s="24"/>
      <c r="F22" s="25"/>
      <c r="G22" s="24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28"/>
      <c r="AB22" s="12"/>
      <c r="AC22" s="12"/>
      <c r="AD22" s="12"/>
      <c r="AE22" s="12"/>
      <c r="AF22" s="12"/>
      <c r="AG22" s="29"/>
      <c r="AH22" s="30"/>
    </row>
    <row r="23" spans="1:35" ht="3" customHeight="1" x14ac:dyDescent="0.35">
      <c r="A23" s="12"/>
      <c r="B23" s="12"/>
      <c r="C23" s="12"/>
      <c r="D23" s="24"/>
      <c r="E23" s="24"/>
      <c r="F23" s="25"/>
      <c r="G23" s="24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spans="1:35" ht="13.4" customHeight="1" x14ac:dyDescent="0.35">
      <c r="A24" s="170">
        <f ca="1">IF('Cours (2)'!G3=0,"",NOW())</f>
        <v>43530.414178703701</v>
      </c>
      <c r="B24" s="136"/>
      <c r="C24" s="136"/>
      <c r="D24" s="54" t="str">
        <f>IF('Cours (2)'!G3=0,"","Invest.")</f>
        <v>Invest.</v>
      </c>
      <c r="E24" s="137"/>
      <c r="F24" s="56"/>
      <c r="G24" s="55">
        <f ca="1">IF(a=0,"",A24)</f>
        <v>43530.414178703701</v>
      </c>
      <c r="H24" s="56"/>
      <c r="I24" s="57" t="str">
        <f>IF('Cours (2)'!G3=0,"",IF(I25&gt;0,"Gains","Pertes"))</f>
        <v>Pertes</v>
      </c>
      <c r="J24" s="58" t="str">
        <f>IF('Cours (2)'!G3=0,"","En %")</f>
        <v>En %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spans="1:35" ht="13.4" customHeight="1" x14ac:dyDescent="0.35">
      <c r="A25" s="138" t="str">
        <f>IF('Cours (2)'!G3=0,"","AVIVA EPARGNE PLURIEL")</f>
        <v>AVIVA EPARGNE PLURIEL</v>
      </c>
      <c r="B25" s="139"/>
      <c r="C25" s="139"/>
      <c r="D25" s="53">
        <f>IF(a=0,"",GETPIVOTDATA("Date",Détail!$A$6))</f>
        <v>22450</v>
      </c>
      <c r="E25" s="140"/>
      <c r="F25" s="141"/>
      <c r="G25" s="142">
        <f>IF('Cours (2)'!G3=0,"",H21)</f>
        <v>22111.304000600001</v>
      </c>
      <c r="H25" s="141"/>
      <c r="I25" s="143">
        <f>IF('Cours (2)'!G3=0,"",IF(G25-D25&gt;0,-(G25-D25)*e+(G25-D25),(G25-D25)))</f>
        <v>-338.69599939999898</v>
      </c>
      <c r="J25" s="144">
        <f>IF('Cours (2)'!G3=0,"",I25/D25)</f>
        <v>-1.5086681487750511E-2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6" spans="1:35" ht="3" customHeight="1" x14ac:dyDescent="0.4">
      <c r="A26" s="1"/>
      <c r="B26" s="1"/>
      <c r="C26" s="6"/>
      <c r="D26" s="2"/>
      <c r="E26" s="2"/>
      <c r="F26" s="26"/>
      <c r="G26" s="2"/>
      <c r="H26" s="1"/>
      <c r="I26" s="1"/>
    </row>
    <row r="27" spans="1:35" ht="13.15" x14ac:dyDescent="0.4">
      <c r="A27" s="1"/>
      <c r="B27" s="1"/>
      <c r="C27" s="6"/>
      <c r="D27" s="2"/>
      <c r="E27" s="2"/>
      <c r="F27" s="26"/>
      <c r="G27" s="2"/>
      <c r="H27" s="1"/>
      <c r="I27" s="1"/>
    </row>
    <row r="28" spans="1:35" ht="13.15" x14ac:dyDescent="0.4">
      <c r="A28" s="1"/>
      <c r="B28" s="1"/>
      <c r="C28" s="6"/>
      <c r="D28" s="2"/>
      <c r="E28" s="2"/>
      <c r="F28" s="26"/>
      <c r="G28" s="2"/>
      <c r="H28" s="1"/>
      <c r="I28" s="1"/>
    </row>
    <row r="29" spans="1:35" ht="12.75" x14ac:dyDescent="0.35">
      <c r="C29" s="6"/>
    </row>
    <row r="30" spans="1:35" ht="12.75" x14ac:dyDescent="0.35">
      <c r="C30" s="6"/>
    </row>
    <row r="31" spans="1:35" ht="12.75" x14ac:dyDescent="0.35">
      <c r="C31" s="6"/>
    </row>
    <row r="32" spans="1:35" ht="12.75" x14ac:dyDescent="0.35">
      <c r="C32" s="6"/>
    </row>
    <row r="33" spans="3:3" ht="12.75" x14ac:dyDescent="0.35">
      <c r="C33" s="6"/>
    </row>
    <row r="34" spans="3:3" ht="12.75" x14ac:dyDescent="0.35">
      <c r="C34" s="6"/>
    </row>
    <row r="35" spans="3:3" ht="12.75" x14ac:dyDescent="0.35">
      <c r="C35" s="6"/>
    </row>
    <row r="36" spans="3:3" ht="12.75" x14ac:dyDescent="0.35">
      <c r="C36" s="6"/>
    </row>
    <row r="37" spans="3:3" x14ac:dyDescent="0.3">
      <c r="C37" s="6"/>
    </row>
    <row r="38" spans="3:3" x14ac:dyDescent="0.3">
      <c r="C38" s="6"/>
    </row>
    <row r="39" spans="3:3" x14ac:dyDescent="0.3">
      <c r="C39" s="6"/>
    </row>
    <row r="40" spans="3:3" x14ac:dyDescent="0.3">
      <c r="C40" s="6"/>
    </row>
    <row r="41" spans="3:3" x14ac:dyDescent="0.3">
      <c r="C41" s="6"/>
    </row>
    <row r="42" spans="3:3" x14ac:dyDescent="0.3">
      <c r="C42" s="6"/>
    </row>
    <row r="43" spans="3:3" x14ac:dyDescent="0.3">
      <c r="C43" s="6"/>
    </row>
    <row r="44" spans="3:3" x14ac:dyDescent="0.3">
      <c r="C44" s="6"/>
    </row>
    <row r="45" spans="3:3" x14ac:dyDescent="0.3">
      <c r="C45" s="6"/>
    </row>
    <row r="46" spans="3:3" x14ac:dyDescent="0.3">
      <c r="C46" s="6"/>
    </row>
    <row r="47" spans="3:3" x14ac:dyDescent="0.3">
      <c r="C47" s="6"/>
    </row>
    <row r="48" spans="3:3" x14ac:dyDescent="0.3">
      <c r="C48" s="6"/>
    </row>
    <row r="49" spans="3:3" x14ac:dyDescent="0.3">
      <c r="C49" s="6"/>
    </row>
    <row r="50" spans="3:3" x14ac:dyDescent="0.3">
      <c r="C50" s="6"/>
    </row>
    <row r="51" spans="3:3" x14ac:dyDescent="0.3">
      <c r="C51" s="6"/>
    </row>
    <row r="52" spans="3:3" x14ac:dyDescent="0.3">
      <c r="C52" s="6"/>
    </row>
    <row r="53" spans="3:3" x14ac:dyDescent="0.3">
      <c r="C53" s="6"/>
    </row>
    <row r="54" spans="3:3" x14ac:dyDescent="0.3">
      <c r="C54" s="6"/>
    </row>
    <row r="55" spans="3:3" x14ac:dyDescent="0.3">
      <c r="C55" s="6"/>
    </row>
    <row r="56" spans="3:3" x14ac:dyDescent="0.3">
      <c r="C56" s="6"/>
    </row>
    <row r="57" spans="3:3" x14ac:dyDescent="0.3">
      <c r="C57" s="6"/>
    </row>
    <row r="58" spans="3:3" x14ac:dyDescent="0.3">
      <c r="C58" s="6"/>
    </row>
    <row r="59" spans="3:3" x14ac:dyDescent="0.3">
      <c r="C59" s="6"/>
    </row>
    <row r="60" spans="3:3" x14ac:dyDescent="0.3">
      <c r="C60" s="6"/>
    </row>
    <row r="61" spans="3:3" x14ac:dyDescent="0.3">
      <c r="C61" s="6"/>
    </row>
    <row r="62" spans="3:3" x14ac:dyDescent="0.3">
      <c r="C62" s="6"/>
    </row>
    <row r="63" spans="3:3" x14ac:dyDescent="0.3">
      <c r="C63" s="6"/>
    </row>
    <row r="64" spans="3:3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</sheetData>
  <mergeCells count="6">
    <mergeCell ref="Y1:AA1"/>
    <mergeCell ref="U1:X1"/>
    <mergeCell ref="Q1:T1"/>
    <mergeCell ref="D1:G1"/>
    <mergeCell ref="M1:P1"/>
    <mergeCell ref="J1:K1"/>
  </mergeCells>
  <conditionalFormatting sqref="K9:L21 K4:L7 R4:S7 N4:O5 S4:S21 AC4:AC21 V4:W21 O4:O21">
    <cfRule type="cellIs" dxfId="77" priority="58" operator="lessThan">
      <formula>0</formula>
    </cfRule>
  </conditionalFormatting>
  <conditionalFormatting sqref="J20:J21">
    <cfRule type="cellIs" dxfId="76" priority="56" operator="lessThan">
      <formula>0</formula>
    </cfRule>
  </conditionalFormatting>
  <conditionalFormatting sqref="V9:W19">
    <cfRule type="cellIs" dxfId="75" priority="55" operator="lessThan">
      <formula>0</formula>
    </cfRule>
  </conditionalFormatting>
  <conditionalFormatting sqref="AA4:AA21">
    <cfRule type="cellIs" dxfId="74" priority="51" operator="lessThan">
      <formula>0</formula>
    </cfRule>
  </conditionalFormatting>
  <conditionalFormatting sqref="Z4:Z21">
    <cfRule type="cellIs" dxfId="73" priority="50" operator="lessThan">
      <formula>-0.5</formula>
    </cfRule>
  </conditionalFormatting>
  <conditionalFormatting sqref="J20:L21 K4:L7 K9:L19">
    <cfRule type="cellIs" dxfId="72" priority="49" operator="lessThan">
      <formula>0</formula>
    </cfRule>
  </conditionalFormatting>
  <conditionalFormatting sqref="R9:S19">
    <cfRule type="cellIs" dxfId="71" priority="48" operator="lessThan">
      <formula>0</formula>
    </cfRule>
  </conditionalFormatting>
  <conditionalFormatting sqref="K8:L8">
    <cfRule type="cellIs" dxfId="70" priority="47" operator="lessThan">
      <formula>0</formula>
    </cfRule>
  </conditionalFormatting>
  <conditionalFormatting sqref="V8:W8">
    <cfRule type="cellIs" dxfId="69" priority="46" operator="lessThan">
      <formula>0</formula>
    </cfRule>
  </conditionalFormatting>
  <conditionalFormatting sqref="K8:L8">
    <cfRule type="cellIs" dxfId="68" priority="43" operator="lessThan">
      <formula>0</formula>
    </cfRule>
  </conditionalFormatting>
  <conditionalFormatting sqref="R8:S8">
    <cfRule type="cellIs" dxfId="67" priority="42" operator="lessThan">
      <formula>0</formula>
    </cfRule>
  </conditionalFormatting>
  <conditionalFormatting sqref="K4:L21">
    <cfRule type="cellIs" dxfId="66" priority="33" operator="lessThan">
      <formula>0</formula>
    </cfRule>
    <cfRule type="cellIs" dxfId="65" priority="34" operator="greaterThan">
      <formula>0.0001</formula>
    </cfRule>
    <cfRule type="cellIs" dxfId="64" priority="39" operator="greaterThan">
      <formula>0.001</formula>
    </cfRule>
    <cfRule type="cellIs" dxfId="63" priority="40" operator="greaterThan">
      <formula>"0.01%"</formula>
    </cfRule>
    <cfRule type="cellIs" dxfId="62" priority="41" operator="lessThan">
      <formula>-0.0001</formula>
    </cfRule>
  </conditionalFormatting>
  <conditionalFormatting sqref="J20:J21">
    <cfRule type="cellIs" dxfId="61" priority="35" operator="lessThan">
      <formula>-0.1</formula>
    </cfRule>
    <cfRule type="cellIs" dxfId="60" priority="36" operator="greaterThan">
      <formula>0.1</formula>
    </cfRule>
    <cfRule type="cellIs" dxfId="59" priority="37" operator="greaterThan">
      <formula>1</formula>
    </cfRule>
    <cfRule type="cellIs" dxfId="58" priority="38" operator="greaterThan">
      <formula>"0.1"</formula>
    </cfRule>
  </conditionalFormatting>
  <conditionalFormatting sqref="J20:J21">
    <cfRule type="cellIs" dxfId="57" priority="32" operator="greaterThan">
      <formula>0.01</formula>
    </cfRule>
  </conditionalFormatting>
  <conditionalFormatting sqref="J4:J19">
    <cfRule type="cellIs" dxfId="56" priority="25" operator="lessThan">
      <formula>0</formula>
    </cfRule>
  </conditionalFormatting>
  <conditionalFormatting sqref="J4:J19">
    <cfRule type="cellIs" dxfId="55" priority="24" operator="lessThan">
      <formula>0</formula>
    </cfRule>
  </conditionalFormatting>
  <conditionalFormatting sqref="J4:J19">
    <cfRule type="cellIs" dxfId="54" priority="22" operator="lessThan">
      <formula>-0.01</formula>
    </cfRule>
    <cfRule type="cellIs" dxfId="53" priority="23" operator="greaterThan">
      <formula>0.01</formula>
    </cfRule>
  </conditionalFormatting>
  <conditionalFormatting sqref="AG4:AG22">
    <cfRule type="cellIs" dxfId="52" priority="5" operator="equal">
      <formula>"En Perte"</formula>
    </cfRule>
  </conditionalFormatting>
  <conditionalFormatting sqref="O9:O19 O6:O7 N6:N20">
    <cfRule type="cellIs" dxfId="51" priority="3" operator="lessThan">
      <formula>0</formula>
    </cfRule>
  </conditionalFormatting>
  <conditionalFormatting sqref="O8">
    <cfRule type="cellIs" dxfId="50" priority="2" operator="lessThan">
      <formula>0</formula>
    </cfRule>
  </conditionalFormatting>
  <hyperlinks>
    <hyperlink ref="C6" r:id="rId1" display="http://www.boursorama.com/bourse/opcvm/opcvm.phtml?symbole=MP-828069"/>
    <hyperlink ref="C9" r:id="rId2" display="http://www.boursorama.com/bourse/opcvm/opcvm.phtml?symbole=MP-807288"/>
    <hyperlink ref="C10" r:id="rId3" display="http://www.boursorama.com/bourse/opcvm/opcvm.phtml?symbole=MP-228322"/>
    <hyperlink ref="C12" r:id="rId4" display="http://www.boursorama.com/bourse/opcvm/opcvm.phtml?symbole=MP-119964"/>
    <hyperlink ref="C13" r:id="rId5" display="http://www.boursorama.com/bourse/opcvm/opcvm.phtml?symbole=MP-806533"/>
    <hyperlink ref="C14" r:id="rId6" display="http://www.boursorama.com/bourse/opcvm/opcvm.phtml?symbole=MP-803544"/>
    <hyperlink ref="C15" r:id="rId7" display="http://www.boursorama.com/bourse/opcvm/opcvm.phtml?symbole=MP-807388"/>
    <hyperlink ref="C17" r:id="rId8" display="http://www.boursorama.com/bourse/opcvm/opcvm.phtml?symbole=0P0000YAD1"/>
    <hyperlink ref="C18" r:id="rId9" display="http://www.boursorama.com/bourse/opcvm/opcvm.phtml?symbole=0P00013YF0"/>
    <hyperlink ref="C11" r:id="rId10" display="http://www.boursorama.com/bourse/opcvm/opcvm.phtml?symbole=0P000111GL"/>
    <hyperlink ref="C4" r:id="rId11" display="http://www.boursorama.com/bourse/opcvm/opcvm.phtml?symbole=0P00015MBL"/>
    <hyperlink ref="C8" r:id="rId12" display="http://www.boursorama.com/bourse/opcvm/opcvm.phtml?symbole=MP-802757"/>
    <hyperlink ref="C19" r:id="rId13" display="http://www.boursorama.com/bourse/opcvm/opcvm.phtml?symbole=0P00018DYB"/>
    <hyperlink ref="C5" r:id="rId14"/>
    <hyperlink ref="C16" r:id="rId15"/>
  </hyperlinks>
  <pageMargins left="0.7" right="0.7" top="0.75" bottom="0.75" header="0.3" footer="0.3"/>
  <pageSetup paperSize="9" orientation="portrait" r:id="rId16"/>
  <ignoredErrors>
    <ignoredError sqref="U3 Y3 Q3 M3" twoDigitTextYear="1"/>
  </ignoredErrors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1"/>
  <sheetViews>
    <sheetView showGridLines="0" showRowColHeaders="0" workbookViewId="0">
      <pane ySplit="17" topLeftCell="A65" activePane="bottomLeft" state="frozen"/>
      <selection activeCell="A2" sqref="A2:B2"/>
      <selection pane="bottomLeft" activeCell="A6" sqref="A6"/>
    </sheetView>
  </sheetViews>
  <sheetFormatPr baseColWidth="10" defaultColWidth="10.453125" defaultRowHeight="18" x14ac:dyDescent="0.35"/>
  <cols>
    <col min="1" max="1" width="14.81640625" style="42" customWidth="1"/>
    <col min="2" max="2" width="12.81640625" style="41" customWidth="1"/>
    <col min="3" max="3" width="12.1796875" style="41" customWidth="1"/>
    <col min="4" max="4" width="22.36328125" style="42" customWidth="1"/>
    <col min="5" max="5" width="0.81640625" style="43" customWidth="1"/>
    <col min="6" max="6" width="21.81640625" style="43" bestFit="1" customWidth="1"/>
    <col min="7" max="7" width="11.54296875" style="43" bestFit="1" customWidth="1"/>
    <col min="8" max="8" width="10.453125" style="43"/>
    <col min="9" max="16384" width="10.453125" style="42"/>
  </cols>
  <sheetData>
    <row r="1" spans="1:4" x14ac:dyDescent="0.35">
      <c r="A1" s="190" t="str">
        <f>IF('Cours (2)'!G3=0,"","Répartition Aviva Epargne Pluriel :")</f>
        <v>Répartition Aviva Epargne Pluriel :</v>
      </c>
      <c r="B1" s="191"/>
      <c r="C1" s="192"/>
      <c r="D1" s="46">
        <f>IF(a=0,"",'Cours (2)'!G25)</f>
        <v>22111.304000600001</v>
      </c>
    </row>
    <row r="2" spans="1:4" x14ac:dyDescent="0.35">
      <c r="A2" s="193" t="str">
        <f>IF('Cours (2)'!G3=0,"","+ ou - Value latente à J :")</f>
        <v>+ ou - Value latente à J :</v>
      </c>
      <c r="B2" s="193"/>
      <c r="C2" s="47">
        <f>IF(a=0,"",'Cours (2)'!I25)</f>
        <v>-338.69599939999898</v>
      </c>
      <c r="D2" s="48" t="str">
        <f>IF(a=0,"",IF(C2&gt;0,"Plus Value latente","Moins Value latente"))</f>
        <v>Moins Value latente</v>
      </c>
    </row>
    <row r="3" spans="1:4" x14ac:dyDescent="0.35">
      <c r="A3" s="194" t="str">
        <f>IF('Cours (2)'!G3=0,"","Vst Gestion Libre :")</f>
        <v>Vst Gestion Libre :</v>
      </c>
      <c r="B3" s="194"/>
      <c r="C3" s="59">
        <f>IF(a=0,"",'Cours (2)'!G4+'Cours (2)'!G20+'Cours (2)'!G21)</f>
        <v>10439.481441599999</v>
      </c>
      <c r="D3" s="168">
        <f>IF(a=0,"",Détail!C3/Détail!D1)</f>
        <v>0.47213323290732734</v>
      </c>
    </row>
    <row r="4" spans="1:4" x14ac:dyDescent="0.35">
      <c r="A4" s="194" t="str">
        <f>IF('Cours (2)'!G3=0,"","Vst Gestion sous Mandat :")</f>
        <v>Vst Gestion sous Mandat :</v>
      </c>
      <c r="B4" s="194"/>
      <c r="C4" s="59">
        <f>IF(a=0,"",SUM('Cours (2)'!G5:G19))</f>
        <v>11671.822559</v>
      </c>
      <c r="D4" s="169">
        <f>IF(a=0,"",Détail!C4/Détail!D1)</f>
        <v>0.52786676709267255</v>
      </c>
    </row>
    <row r="5" spans="1:4" ht="3" customHeight="1" x14ac:dyDescent="0.4">
      <c r="A5" s="189"/>
      <c r="B5" s="189"/>
      <c r="C5" s="189"/>
      <c r="D5" s="151"/>
    </row>
    <row r="6" spans="1:4" x14ac:dyDescent="0.35">
      <c r="A6" s="173" t="s">
        <v>84</v>
      </c>
      <c r="B6" s="173" t="s">
        <v>85</v>
      </c>
      <c r="C6" s="153" t="str">
        <f>IF(a=0,"","En %")</f>
        <v>En %</v>
      </c>
      <c r="D6" s="154" t="str">
        <f>IF(a=0,"","Type de Vst")</f>
        <v>Type de Vst</v>
      </c>
    </row>
    <row r="7" spans="1:4" x14ac:dyDescent="0.35">
      <c r="A7" s="175" t="s">
        <v>86</v>
      </c>
      <c r="B7" s="174">
        <v>5050</v>
      </c>
      <c r="C7" s="159">
        <f>GETPIVOTDATA("Date",$A$6,"Catégorie","Versement Initial")/GETPIVOTDATA("Date",$A$6)</f>
        <v>0.22494432071269488</v>
      </c>
      <c r="D7" s="156">
        <f>IF(a=0,"",1)</f>
        <v>1</v>
      </c>
    </row>
    <row r="8" spans="1:4" x14ac:dyDescent="0.35">
      <c r="A8" s="175" t="s">
        <v>87</v>
      </c>
      <c r="B8" s="174">
        <v>13500</v>
      </c>
      <c r="C8" s="159">
        <f>GETPIVOTDATA("Date",$A$6,"Catégorie","Versement Libre")/GETPIVOTDATA("Date",$A$6)</f>
        <v>0.60133630289532292</v>
      </c>
      <c r="D8" s="157">
        <f>IF(a=0,"",SUM(H17:H209))</f>
        <v>18</v>
      </c>
    </row>
    <row r="9" spans="1:4" x14ac:dyDescent="0.35">
      <c r="A9" s="175" t="s">
        <v>88</v>
      </c>
      <c r="B9" s="174">
        <v>3900</v>
      </c>
      <c r="C9" s="159">
        <f>GETPIVOTDATA("Date",$A$6,"Catégorie","Versement Programmé")/GETPIVOTDATA("Date",$A$6)</f>
        <v>0.17371937639198218</v>
      </c>
      <c r="D9" s="158">
        <f>IF(a=0,"",SUM(G17:G209))</f>
        <v>34</v>
      </c>
    </row>
    <row r="10" spans="1:4" x14ac:dyDescent="0.35">
      <c r="A10" s="172" t="s">
        <v>83</v>
      </c>
      <c r="B10" s="171">
        <v>22450</v>
      </c>
      <c r="C10" s="152">
        <f>IF(a=0,"",SUM(C7:C9))</f>
        <v>1</v>
      </c>
      <c r="D10" s="155">
        <f>IF(a=0,"",SUM(D7:D9))</f>
        <v>53</v>
      </c>
    </row>
    <row r="11" spans="1:4" x14ac:dyDescent="0.35">
      <c r="A11" s="149"/>
      <c r="B11" s="149"/>
      <c r="C11" s="150"/>
      <c r="D11" s="151"/>
    </row>
    <row r="12" spans="1:4" x14ac:dyDescent="0.35">
      <c r="A12" s="149"/>
      <c r="B12" s="149"/>
      <c r="C12" s="150"/>
      <c r="D12" s="151"/>
    </row>
    <row r="13" spans="1:4" x14ac:dyDescent="0.35">
      <c r="A13" s="149"/>
      <c r="B13" s="149"/>
      <c r="C13" s="150"/>
      <c r="D13" s="151"/>
    </row>
    <row r="14" spans="1:4" x14ac:dyDescent="0.35">
      <c r="A14" s="149"/>
      <c r="B14" s="149"/>
      <c r="C14" s="150"/>
      <c r="D14" s="151"/>
    </row>
    <row r="15" spans="1:4" x14ac:dyDescent="0.35">
      <c r="A15" s="149"/>
      <c r="B15" s="149"/>
      <c r="C15" s="150"/>
      <c r="D15" s="151"/>
    </row>
    <row r="16" spans="1:4" ht="0.65" customHeight="1" x14ac:dyDescent="0.35">
      <c r="A16" s="149"/>
      <c r="B16" s="149"/>
      <c r="C16" s="150"/>
      <c r="D16" s="151"/>
    </row>
    <row r="17" spans="1:8" s="38" customFormat="1" x14ac:dyDescent="0.35">
      <c r="A17" s="38" t="s">
        <v>64</v>
      </c>
      <c r="B17" s="39" t="s">
        <v>65</v>
      </c>
      <c r="C17" s="39" t="s">
        <v>66</v>
      </c>
      <c r="D17" s="38" t="s">
        <v>68</v>
      </c>
      <c r="E17" s="44" t="s">
        <v>70</v>
      </c>
      <c r="F17" s="44" t="s">
        <v>71</v>
      </c>
      <c r="G17" s="44" t="s">
        <v>72</v>
      </c>
      <c r="H17" s="44" t="s">
        <v>73</v>
      </c>
    </row>
    <row r="18" spans="1:8" x14ac:dyDescent="0.35">
      <c r="A18" s="52">
        <v>42510</v>
      </c>
      <c r="B18" s="41">
        <v>5000</v>
      </c>
      <c r="C18" s="41">
        <f>B18</f>
        <v>5000</v>
      </c>
      <c r="D18" s="42" t="s">
        <v>69</v>
      </c>
      <c r="G18" s="43">
        <f t="shared" ref="G18:G49" si="0">IF(E18=0,0,1)</f>
        <v>0</v>
      </c>
      <c r="H18" s="43">
        <f t="shared" ref="H18:H49" si="1">IF(F18="",0,1)</f>
        <v>0</v>
      </c>
    </row>
    <row r="19" spans="1:8" x14ac:dyDescent="0.35">
      <c r="A19" s="52">
        <v>42518</v>
      </c>
      <c r="B19" s="41">
        <v>750</v>
      </c>
      <c r="C19" s="41">
        <f>B19+C18</f>
        <v>5750</v>
      </c>
      <c r="D19" s="42" t="s">
        <v>67</v>
      </c>
      <c r="F19" s="45">
        <f>B19</f>
        <v>750</v>
      </c>
      <c r="G19" s="43">
        <f t="shared" si="0"/>
        <v>0</v>
      </c>
      <c r="H19" s="43">
        <f t="shared" si="1"/>
        <v>1</v>
      </c>
    </row>
    <row r="20" spans="1:8" x14ac:dyDescent="0.35">
      <c r="A20" s="52">
        <v>42522</v>
      </c>
      <c r="B20" s="41">
        <v>100</v>
      </c>
      <c r="C20" s="41">
        <f t="shared" ref="C20:C80" si="2">B20+C19</f>
        <v>5850</v>
      </c>
      <c r="D20" s="42" t="s">
        <v>74</v>
      </c>
      <c r="E20" s="45">
        <f>B20</f>
        <v>100</v>
      </c>
      <c r="G20" s="43">
        <f t="shared" si="0"/>
        <v>1</v>
      </c>
      <c r="H20" s="43">
        <f t="shared" si="1"/>
        <v>0</v>
      </c>
    </row>
    <row r="21" spans="1:8" x14ac:dyDescent="0.35">
      <c r="A21" s="52">
        <v>42534</v>
      </c>
      <c r="B21" s="41">
        <v>750</v>
      </c>
      <c r="C21" s="41">
        <f t="shared" si="2"/>
        <v>6600</v>
      </c>
      <c r="D21" s="42" t="s">
        <v>67</v>
      </c>
      <c r="F21" s="45">
        <f>B21</f>
        <v>750</v>
      </c>
      <c r="G21" s="43">
        <f t="shared" si="0"/>
        <v>0</v>
      </c>
      <c r="H21" s="43">
        <f t="shared" si="1"/>
        <v>1</v>
      </c>
    </row>
    <row r="22" spans="1:8" x14ac:dyDescent="0.35">
      <c r="A22" s="52">
        <v>42539</v>
      </c>
      <c r="B22" s="41">
        <v>750</v>
      </c>
      <c r="C22" s="41">
        <f t="shared" si="2"/>
        <v>7350</v>
      </c>
      <c r="D22" s="42" t="s">
        <v>67</v>
      </c>
      <c r="F22" s="45">
        <f>B22</f>
        <v>750</v>
      </c>
      <c r="G22" s="43">
        <f t="shared" si="0"/>
        <v>0</v>
      </c>
      <c r="H22" s="43">
        <f t="shared" si="1"/>
        <v>1</v>
      </c>
    </row>
    <row r="23" spans="1:8" x14ac:dyDescent="0.35">
      <c r="A23" s="52">
        <v>42552</v>
      </c>
      <c r="B23" s="41">
        <v>100</v>
      </c>
      <c r="C23" s="41">
        <f t="shared" si="2"/>
        <v>7450</v>
      </c>
      <c r="D23" s="42" t="s">
        <v>74</v>
      </c>
      <c r="E23" s="45">
        <f>B23</f>
        <v>100</v>
      </c>
      <c r="G23" s="43">
        <f t="shared" si="0"/>
        <v>1</v>
      </c>
      <c r="H23" s="43">
        <f t="shared" si="1"/>
        <v>0</v>
      </c>
    </row>
    <row r="24" spans="1:8" x14ac:dyDescent="0.35">
      <c r="A24" s="52">
        <v>42583</v>
      </c>
      <c r="B24" s="41">
        <v>100</v>
      </c>
      <c r="C24" s="41">
        <f t="shared" si="2"/>
        <v>7550</v>
      </c>
      <c r="D24" s="42" t="s">
        <v>74</v>
      </c>
      <c r="E24" s="45">
        <f>B24</f>
        <v>100</v>
      </c>
      <c r="G24" s="43">
        <f t="shared" si="0"/>
        <v>1</v>
      </c>
      <c r="H24" s="43">
        <f t="shared" si="1"/>
        <v>0</v>
      </c>
    </row>
    <row r="25" spans="1:8" x14ac:dyDescent="0.35">
      <c r="A25" s="52">
        <v>42594</v>
      </c>
      <c r="B25" s="41">
        <v>750</v>
      </c>
      <c r="C25" s="41">
        <f t="shared" si="2"/>
        <v>8300</v>
      </c>
      <c r="D25" s="42" t="s">
        <v>67</v>
      </c>
      <c r="F25" s="45">
        <f>B25</f>
        <v>750</v>
      </c>
      <c r="G25" s="43">
        <f t="shared" si="0"/>
        <v>0</v>
      </c>
      <c r="H25" s="43">
        <f t="shared" si="1"/>
        <v>1</v>
      </c>
    </row>
    <row r="26" spans="1:8" x14ac:dyDescent="0.35">
      <c r="A26" s="52">
        <v>42614</v>
      </c>
      <c r="B26" s="41">
        <v>100</v>
      </c>
      <c r="C26" s="41">
        <f t="shared" si="2"/>
        <v>8400</v>
      </c>
      <c r="D26" s="42" t="s">
        <v>74</v>
      </c>
      <c r="E26" s="45">
        <f>B26</f>
        <v>100</v>
      </c>
      <c r="G26" s="43">
        <f t="shared" si="0"/>
        <v>1</v>
      </c>
      <c r="H26" s="43">
        <f t="shared" si="1"/>
        <v>0</v>
      </c>
    </row>
    <row r="27" spans="1:8" x14ac:dyDescent="0.35">
      <c r="A27" s="52">
        <v>42633</v>
      </c>
      <c r="B27" s="41">
        <v>750</v>
      </c>
      <c r="C27" s="41">
        <f t="shared" si="2"/>
        <v>9150</v>
      </c>
      <c r="D27" s="42" t="s">
        <v>67</v>
      </c>
      <c r="F27" s="45">
        <f>B27</f>
        <v>750</v>
      </c>
      <c r="G27" s="43">
        <f t="shared" si="0"/>
        <v>0</v>
      </c>
      <c r="H27" s="43">
        <f t="shared" si="1"/>
        <v>1</v>
      </c>
    </row>
    <row r="28" spans="1:8" x14ac:dyDescent="0.35">
      <c r="A28" s="52">
        <v>42643</v>
      </c>
      <c r="B28" s="41">
        <v>750</v>
      </c>
      <c r="C28" s="41">
        <f t="shared" si="2"/>
        <v>9900</v>
      </c>
      <c r="D28" s="42" t="s">
        <v>67</v>
      </c>
      <c r="F28" s="45">
        <f>B28</f>
        <v>750</v>
      </c>
      <c r="G28" s="43">
        <f t="shared" si="0"/>
        <v>0</v>
      </c>
      <c r="H28" s="43">
        <f t="shared" si="1"/>
        <v>1</v>
      </c>
    </row>
    <row r="29" spans="1:8" x14ac:dyDescent="0.35">
      <c r="A29" s="52">
        <v>42644</v>
      </c>
      <c r="B29" s="41">
        <v>100</v>
      </c>
      <c r="C29" s="41">
        <f t="shared" si="2"/>
        <v>10000</v>
      </c>
      <c r="D29" s="42" t="s">
        <v>74</v>
      </c>
      <c r="E29" s="45">
        <f>B29</f>
        <v>100</v>
      </c>
      <c r="G29" s="43">
        <f t="shared" si="0"/>
        <v>1</v>
      </c>
      <c r="H29" s="43">
        <f t="shared" si="1"/>
        <v>0</v>
      </c>
    </row>
    <row r="30" spans="1:8" x14ac:dyDescent="0.35">
      <c r="A30" s="52">
        <v>42644</v>
      </c>
      <c r="B30" s="41">
        <v>50</v>
      </c>
      <c r="C30" s="41">
        <f t="shared" si="2"/>
        <v>10050</v>
      </c>
      <c r="D30" s="42" t="s">
        <v>69</v>
      </c>
      <c r="E30" s="45">
        <f>B30</f>
        <v>50</v>
      </c>
      <c r="G30" s="43">
        <v>0</v>
      </c>
      <c r="H30" s="43">
        <f t="shared" si="1"/>
        <v>0</v>
      </c>
    </row>
    <row r="31" spans="1:8" x14ac:dyDescent="0.35">
      <c r="A31" s="52">
        <v>42655</v>
      </c>
      <c r="B31" s="41">
        <v>750</v>
      </c>
      <c r="C31" s="41">
        <f t="shared" si="2"/>
        <v>10800</v>
      </c>
      <c r="D31" s="42" t="s">
        <v>67</v>
      </c>
      <c r="F31" s="45">
        <f>B31</f>
        <v>750</v>
      </c>
      <c r="G31" s="43">
        <f t="shared" si="0"/>
        <v>0</v>
      </c>
      <c r="H31" s="43">
        <f t="shared" si="1"/>
        <v>1</v>
      </c>
    </row>
    <row r="32" spans="1:8" x14ac:dyDescent="0.35">
      <c r="A32" s="52">
        <v>42660</v>
      </c>
      <c r="B32" s="41">
        <v>750</v>
      </c>
      <c r="C32" s="41">
        <f t="shared" si="2"/>
        <v>11550</v>
      </c>
      <c r="D32" s="42" t="s">
        <v>67</v>
      </c>
      <c r="F32" s="45">
        <f>B32</f>
        <v>750</v>
      </c>
      <c r="G32" s="43">
        <f t="shared" si="0"/>
        <v>0</v>
      </c>
      <c r="H32" s="43">
        <f t="shared" si="1"/>
        <v>1</v>
      </c>
    </row>
    <row r="33" spans="1:8" x14ac:dyDescent="0.35">
      <c r="A33" s="52">
        <v>42664</v>
      </c>
      <c r="B33" s="41">
        <v>750</v>
      </c>
      <c r="C33" s="41">
        <f t="shared" si="2"/>
        <v>12300</v>
      </c>
      <c r="D33" s="42" t="s">
        <v>67</v>
      </c>
      <c r="F33" s="45">
        <f>B33</f>
        <v>750</v>
      </c>
      <c r="G33" s="43">
        <f t="shared" si="0"/>
        <v>0</v>
      </c>
      <c r="H33" s="43">
        <f t="shared" si="1"/>
        <v>1</v>
      </c>
    </row>
    <row r="34" spans="1:8" x14ac:dyDescent="0.35">
      <c r="A34" s="52">
        <v>42675</v>
      </c>
      <c r="B34" s="41">
        <v>100</v>
      </c>
      <c r="C34" s="41">
        <f t="shared" si="2"/>
        <v>12400</v>
      </c>
      <c r="D34" s="42" t="s">
        <v>74</v>
      </c>
      <c r="E34" s="45">
        <f>B34</f>
        <v>100</v>
      </c>
      <c r="G34" s="43">
        <f t="shared" si="0"/>
        <v>1</v>
      </c>
      <c r="H34" s="43">
        <f t="shared" si="1"/>
        <v>0</v>
      </c>
    </row>
    <row r="35" spans="1:8" x14ac:dyDescent="0.35">
      <c r="A35" s="52">
        <v>42705</v>
      </c>
      <c r="B35" s="41">
        <v>100</v>
      </c>
      <c r="C35" s="41">
        <f t="shared" si="2"/>
        <v>12500</v>
      </c>
      <c r="D35" s="42" t="s">
        <v>74</v>
      </c>
      <c r="E35" s="45">
        <f>B35</f>
        <v>100</v>
      </c>
      <c r="G35" s="43">
        <f t="shared" si="0"/>
        <v>1</v>
      </c>
      <c r="H35" s="43">
        <f t="shared" si="1"/>
        <v>0</v>
      </c>
    </row>
    <row r="36" spans="1:8" x14ac:dyDescent="0.35">
      <c r="A36" s="52">
        <v>42736</v>
      </c>
      <c r="B36" s="41">
        <v>100</v>
      </c>
      <c r="C36" s="41">
        <f t="shared" si="2"/>
        <v>12600</v>
      </c>
      <c r="D36" s="42" t="s">
        <v>74</v>
      </c>
      <c r="E36" s="45">
        <f>B36</f>
        <v>100</v>
      </c>
      <c r="G36" s="43">
        <f t="shared" si="0"/>
        <v>1</v>
      </c>
      <c r="H36" s="43">
        <f t="shared" si="1"/>
        <v>0</v>
      </c>
    </row>
    <row r="37" spans="1:8" x14ac:dyDescent="0.35">
      <c r="A37" s="52">
        <v>42767</v>
      </c>
      <c r="B37" s="41">
        <v>100</v>
      </c>
      <c r="C37" s="41">
        <f t="shared" si="2"/>
        <v>12700</v>
      </c>
      <c r="D37" s="42" t="s">
        <v>74</v>
      </c>
      <c r="E37" s="45">
        <f>B37</f>
        <v>100</v>
      </c>
      <c r="G37" s="43">
        <f t="shared" si="0"/>
        <v>1</v>
      </c>
      <c r="H37" s="43">
        <f t="shared" si="1"/>
        <v>0</v>
      </c>
    </row>
    <row r="38" spans="1:8" x14ac:dyDescent="0.35">
      <c r="A38" s="52">
        <v>42769</v>
      </c>
      <c r="B38" s="41">
        <v>750</v>
      </c>
      <c r="C38" s="41">
        <f t="shared" si="2"/>
        <v>13450</v>
      </c>
      <c r="D38" s="42" t="s">
        <v>67</v>
      </c>
      <c r="F38" s="45">
        <f>B38</f>
        <v>750</v>
      </c>
      <c r="G38" s="43">
        <f t="shared" si="0"/>
        <v>0</v>
      </c>
      <c r="H38" s="43">
        <f t="shared" si="1"/>
        <v>1</v>
      </c>
    </row>
    <row r="39" spans="1:8" x14ac:dyDescent="0.35">
      <c r="A39" s="52">
        <v>42795</v>
      </c>
      <c r="B39" s="41">
        <v>100</v>
      </c>
      <c r="C39" s="41">
        <f t="shared" si="2"/>
        <v>13550</v>
      </c>
      <c r="D39" s="42" t="s">
        <v>74</v>
      </c>
      <c r="E39" s="45">
        <f t="shared" ref="E39:E54" si="3">B39</f>
        <v>100</v>
      </c>
      <c r="G39" s="43">
        <f t="shared" si="0"/>
        <v>1</v>
      </c>
      <c r="H39" s="43">
        <f t="shared" si="1"/>
        <v>0</v>
      </c>
    </row>
    <row r="40" spans="1:8" x14ac:dyDescent="0.35">
      <c r="A40" s="52">
        <v>42826</v>
      </c>
      <c r="B40" s="41">
        <v>100</v>
      </c>
      <c r="C40" s="41">
        <f t="shared" si="2"/>
        <v>13650</v>
      </c>
      <c r="D40" s="42" t="s">
        <v>74</v>
      </c>
      <c r="E40" s="45">
        <f t="shared" si="3"/>
        <v>100</v>
      </c>
      <c r="G40" s="43">
        <f t="shared" si="0"/>
        <v>1</v>
      </c>
      <c r="H40" s="43">
        <f t="shared" si="1"/>
        <v>0</v>
      </c>
    </row>
    <row r="41" spans="1:8" x14ac:dyDescent="0.35">
      <c r="A41" s="52">
        <v>42856</v>
      </c>
      <c r="B41" s="41">
        <v>100</v>
      </c>
      <c r="C41" s="41">
        <f t="shared" si="2"/>
        <v>13750</v>
      </c>
      <c r="D41" s="42" t="s">
        <v>74</v>
      </c>
      <c r="E41" s="45">
        <f t="shared" si="3"/>
        <v>100</v>
      </c>
      <c r="G41" s="43">
        <f t="shared" si="0"/>
        <v>1</v>
      </c>
      <c r="H41" s="43">
        <f t="shared" si="1"/>
        <v>0</v>
      </c>
    </row>
    <row r="42" spans="1:8" x14ac:dyDescent="0.35">
      <c r="A42" s="52">
        <v>42887</v>
      </c>
      <c r="B42" s="41">
        <v>100</v>
      </c>
      <c r="C42" s="41">
        <f t="shared" si="2"/>
        <v>13850</v>
      </c>
      <c r="D42" s="42" t="s">
        <v>74</v>
      </c>
      <c r="E42" s="45">
        <f t="shared" si="3"/>
        <v>100</v>
      </c>
      <c r="G42" s="43">
        <f t="shared" si="0"/>
        <v>1</v>
      </c>
      <c r="H42" s="43">
        <f t="shared" si="1"/>
        <v>0</v>
      </c>
    </row>
    <row r="43" spans="1:8" x14ac:dyDescent="0.35">
      <c r="A43" s="52">
        <v>42917</v>
      </c>
      <c r="B43" s="41">
        <v>100</v>
      </c>
      <c r="C43" s="41">
        <f t="shared" si="2"/>
        <v>13950</v>
      </c>
      <c r="D43" s="42" t="s">
        <v>74</v>
      </c>
      <c r="E43" s="45">
        <f t="shared" si="3"/>
        <v>100</v>
      </c>
      <c r="G43" s="43">
        <f t="shared" si="0"/>
        <v>1</v>
      </c>
      <c r="H43" s="43">
        <f t="shared" si="1"/>
        <v>0</v>
      </c>
    </row>
    <row r="44" spans="1:8" x14ac:dyDescent="0.35">
      <c r="A44" s="52">
        <v>42948</v>
      </c>
      <c r="B44" s="41">
        <v>100</v>
      </c>
      <c r="C44" s="41">
        <f t="shared" si="2"/>
        <v>14050</v>
      </c>
      <c r="D44" s="42" t="s">
        <v>74</v>
      </c>
      <c r="E44" s="45">
        <f t="shared" si="3"/>
        <v>100</v>
      </c>
      <c r="G44" s="43">
        <f t="shared" si="0"/>
        <v>1</v>
      </c>
      <c r="H44" s="43">
        <f t="shared" si="1"/>
        <v>0</v>
      </c>
    </row>
    <row r="45" spans="1:8" x14ac:dyDescent="0.35">
      <c r="A45" s="52">
        <v>42979</v>
      </c>
      <c r="B45" s="41">
        <v>100</v>
      </c>
      <c r="C45" s="41">
        <f t="shared" si="2"/>
        <v>14150</v>
      </c>
      <c r="D45" s="42" t="s">
        <v>74</v>
      </c>
      <c r="E45" s="45">
        <f t="shared" si="3"/>
        <v>100</v>
      </c>
      <c r="G45" s="43">
        <f t="shared" si="0"/>
        <v>1</v>
      </c>
      <c r="H45" s="43">
        <f t="shared" si="1"/>
        <v>0</v>
      </c>
    </row>
    <row r="46" spans="1:8" x14ac:dyDescent="0.35">
      <c r="A46" s="52">
        <v>43009</v>
      </c>
      <c r="B46" s="41">
        <v>100</v>
      </c>
      <c r="C46" s="41">
        <f t="shared" si="2"/>
        <v>14250</v>
      </c>
      <c r="D46" s="42" t="s">
        <v>74</v>
      </c>
      <c r="E46" s="45">
        <f t="shared" si="3"/>
        <v>100</v>
      </c>
      <c r="G46" s="43">
        <f t="shared" si="0"/>
        <v>1</v>
      </c>
      <c r="H46" s="43">
        <f t="shared" si="1"/>
        <v>0</v>
      </c>
    </row>
    <row r="47" spans="1:8" x14ac:dyDescent="0.35">
      <c r="A47" s="52">
        <v>43040</v>
      </c>
      <c r="B47" s="41">
        <v>100</v>
      </c>
      <c r="C47" s="41">
        <f t="shared" si="2"/>
        <v>14350</v>
      </c>
      <c r="D47" s="42" t="s">
        <v>74</v>
      </c>
      <c r="E47" s="45">
        <f t="shared" si="3"/>
        <v>100</v>
      </c>
      <c r="G47" s="43">
        <f t="shared" si="0"/>
        <v>1</v>
      </c>
      <c r="H47" s="43">
        <f t="shared" si="1"/>
        <v>0</v>
      </c>
    </row>
    <row r="48" spans="1:8" x14ac:dyDescent="0.35">
      <c r="A48" s="52">
        <v>43070</v>
      </c>
      <c r="B48" s="41">
        <v>100</v>
      </c>
      <c r="C48" s="41">
        <f t="shared" si="2"/>
        <v>14450</v>
      </c>
      <c r="D48" s="42" t="s">
        <v>74</v>
      </c>
      <c r="E48" s="45">
        <f t="shared" si="3"/>
        <v>100</v>
      </c>
      <c r="G48" s="43">
        <f t="shared" si="0"/>
        <v>1</v>
      </c>
      <c r="H48" s="43">
        <f t="shared" si="1"/>
        <v>0</v>
      </c>
    </row>
    <row r="49" spans="1:8" x14ac:dyDescent="0.35">
      <c r="A49" s="52">
        <v>43101</v>
      </c>
      <c r="B49" s="41">
        <v>100</v>
      </c>
      <c r="C49" s="41">
        <f t="shared" si="2"/>
        <v>14550</v>
      </c>
      <c r="D49" s="42" t="s">
        <v>74</v>
      </c>
      <c r="E49" s="45">
        <f t="shared" si="3"/>
        <v>100</v>
      </c>
      <c r="G49" s="43">
        <f t="shared" si="0"/>
        <v>1</v>
      </c>
      <c r="H49" s="43">
        <f t="shared" si="1"/>
        <v>0</v>
      </c>
    </row>
    <row r="50" spans="1:8" x14ac:dyDescent="0.35">
      <c r="A50" s="52">
        <v>43132</v>
      </c>
      <c r="B50" s="41">
        <v>100</v>
      </c>
      <c r="C50" s="41">
        <f t="shared" si="2"/>
        <v>14650</v>
      </c>
      <c r="D50" s="42" t="s">
        <v>74</v>
      </c>
      <c r="E50" s="45">
        <f t="shared" si="3"/>
        <v>100</v>
      </c>
      <c r="G50" s="43">
        <f t="shared" ref="G50:G80" si="4">IF(E50=0,0,1)</f>
        <v>1</v>
      </c>
      <c r="H50" s="43">
        <f t="shared" ref="H50:H80" si="5">IF(F50="",0,1)</f>
        <v>0</v>
      </c>
    </row>
    <row r="51" spans="1:8" x14ac:dyDescent="0.35">
      <c r="A51" s="52">
        <v>43160</v>
      </c>
      <c r="B51" s="41">
        <v>100</v>
      </c>
      <c r="C51" s="41">
        <f t="shared" si="2"/>
        <v>14750</v>
      </c>
      <c r="D51" s="42" t="s">
        <v>74</v>
      </c>
      <c r="E51" s="45">
        <f t="shared" si="3"/>
        <v>100</v>
      </c>
      <c r="G51" s="43">
        <f t="shared" si="4"/>
        <v>1</v>
      </c>
      <c r="H51" s="43">
        <f t="shared" si="5"/>
        <v>0</v>
      </c>
    </row>
    <row r="52" spans="1:8" x14ac:dyDescent="0.35">
      <c r="A52" s="52">
        <v>43191</v>
      </c>
      <c r="B52" s="41">
        <v>100</v>
      </c>
      <c r="C52" s="41">
        <f t="shared" si="2"/>
        <v>14850</v>
      </c>
      <c r="D52" s="42" t="s">
        <v>74</v>
      </c>
      <c r="E52" s="45">
        <f t="shared" si="3"/>
        <v>100</v>
      </c>
      <c r="G52" s="43">
        <f t="shared" si="4"/>
        <v>1</v>
      </c>
      <c r="H52" s="43">
        <f t="shared" si="5"/>
        <v>0</v>
      </c>
    </row>
    <row r="53" spans="1:8" x14ac:dyDescent="0.35">
      <c r="A53" s="52">
        <v>43221</v>
      </c>
      <c r="B53" s="41">
        <v>100</v>
      </c>
      <c r="C53" s="41">
        <f t="shared" si="2"/>
        <v>14950</v>
      </c>
      <c r="D53" s="42" t="s">
        <v>74</v>
      </c>
      <c r="E53" s="45">
        <f t="shared" si="3"/>
        <v>100</v>
      </c>
      <c r="G53" s="43">
        <f t="shared" si="4"/>
        <v>1</v>
      </c>
      <c r="H53" s="43">
        <f t="shared" si="5"/>
        <v>0</v>
      </c>
    </row>
    <row r="54" spans="1:8" x14ac:dyDescent="0.35">
      <c r="A54" s="52">
        <v>43252</v>
      </c>
      <c r="B54" s="41">
        <v>100</v>
      </c>
      <c r="C54" s="41">
        <f t="shared" si="2"/>
        <v>15050</v>
      </c>
      <c r="D54" s="42" t="s">
        <v>74</v>
      </c>
      <c r="E54" s="45">
        <f t="shared" si="3"/>
        <v>100</v>
      </c>
      <c r="G54" s="43">
        <f t="shared" si="4"/>
        <v>1</v>
      </c>
      <c r="H54" s="43">
        <f t="shared" si="5"/>
        <v>0</v>
      </c>
    </row>
    <row r="55" spans="1:8" x14ac:dyDescent="0.35">
      <c r="A55" s="52">
        <v>43277</v>
      </c>
      <c r="B55" s="41">
        <v>750</v>
      </c>
      <c r="C55" s="41">
        <f t="shared" si="2"/>
        <v>15800</v>
      </c>
      <c r="D55" s="42" t="s">
        <v>67</v>
      </c>
      <c r="F55" s="45">
        <f>B55</f>
        <v>750</v>
      </c>
      <c r="G55" s="43">
        <f t="shared" si="4"/>
        <v>0</v>
      </c>
      <c r="H55" s="43">
        <f t="shared" si="5"/>
        <v>1</v>
      </c>
    </row>
    <row r="56" spans="1:8" x14ac:dyDescent="0.35">
      <c r="A56" s="52">
        <v>43282</v>
      </c>
      <c r="B56" s="41">
        <v>100</v>
      </c>
      <c r="C56" s="41">
        <f t="shared" si="2"/>
        <v>15900</v>
      </c>
      <c r="D56" s="42" t="s">
        <v>74</v>
      </c>
      <c r="E56" s="45">
        <f>B56</f>
        <v>100</v>
      </c>
      <c r="G56" s="43">
        <f t="shared" si="4"/>
        <v>1</v>
      </c>
      <c r="H56" s="43">
        <f t="shared" si="5"/>
        <v>0</v>
      </c>
    </row>
    <row r="57" spans="1:8" x14ac:dyDescent="0.35">
      <c r="A57" s="52">
        <v>43290</v>
      </c>
      <c r="B57" s="41">
        <v>750</v>
      </c>
      <c r="C57" s="41">
        <f t="shared" si="2"/>
        <v>16650</v>
      </c>
      <c r="D57" s="42" t="s">
        <v>67</v>
      </c>
      <c r="F57" s="45">
        <f>B57</f>
        <v>750</v>
      </c>
      <c r="G57" s="43">
        <f t="shared" si="4"/>
        <v>0</v>
      </c>
      <c r="H57" s="43">
        <f t="shared" si="5"/>
        <v>1</v>
      </c>
    </row>
    <row r="58" spans="1:8" x14ac:dyDescent="0.35">
      <c r="A58" s="52">
        <v>43313</v>
      </c>
      <c r="B58" s="41">
        <v>100</v>
      </c>
      <c r="C58" s="41">
        <f t="shared" si="2"/>
        <v>16750</v>
      </c>
      <c r="D58" s="42" t="s">
        <v>74</v>
      </c>
      <c r="E58" s="45">
        <f>B58</f>
        <v>100</v>
      </c>
      <c r="G58" s="43">
        <f t="shared" si="4"/>
        <v>1</v>
      </c>
      <c r="H58" s="43">
        <f t="shared" si="5"/>
        <v>0</v>
      </c>
    </row>
    <row r="59" spans="1:8" x14ac:dyDescent="0.35">
      <c r="A59" s="52">
        <v>43344</v>
      </c>
      <c r="B59" s="41">
        <v>150</v>
      </c>
      <c r="C59" s="41">
        <f t="shared" si="2"/>
        <v>16900</v>
      </c>
      <c r="D59" s="42" t="s">
        <v>74</v>
      </c>
      <c r="E59" s="45">
        <f>B59</f>
        <v>150</v>
      </c>
      <c r="G59" s="43">
        <f t="shared" si="4"/>
        <v>1</v>
      </c>
      <c r="H59" s="43">
        <f t="shared" si="5"/>
        <v>0</v>
      </c>
    </row>
    <row r="60" spans="1:8" x14ac:dyDescent="0.35">
      <c r="A60" s="52">
        <v>43345</v>
      </c>
      <c r="B60" s="41">
        <v>750</v>
      </c>
      <c r="C60" s="41">
        <f t="shared" si="2"/>
        <v>17650</v>
      </c>
      <c r="D60" s="42" t="s">
        <v>67</v>
      </c>
      <c r="F60" s="45">
        <f>B60</f>
        <v>750</v>
      </c>
      <c r="G60" s="43">
        <f t="shared" si="4"/>
        <v>0</v>
      </c>
      <c r="H60" s="43">
        <f t="shared" si="5"/>
        <v>1</v>
      </c>
    </row>
    <row r="61" spans="1:8" x14ac:dyDescent="0.35">
      <c r="A61" s="52">
        <v>43354</v>
      </c>
      <c r="B61" s="41">
        <v>750</v>
      </c>
      <c r="C61" s="41">
        <f t="shared" si="2"/>
        <v>18400</v>
      </c>
      <c r="D61" s="42" t="s">
        <v>67</v>
      </c>
      <c r="F61" s="45">
        <f>B61</f>
        <v>750</v>
      </c>
      <c r="G61" s="43">
        <f t="shared" si="4"/>
        <v>0</v>
      </c>
      <c r="H61" s="43">
        <f t="shared" si="5"/>
        <v>1</v>
      </c>
    </row>
    <row r="62" spans="1:8" x14ac:dyDescent="0.35">
      <c r="A62" s="52">
        <v>43374</v>
      </c>
      <c r="B62" s="41">
        <v>150</v>
      </c>
      <c r="C62" s="41">
        <f t="shared" si="2"/>
        <v>18550</v>
      </c>
      <c r="D62" s="42" t="s">
        <v>74</v>
      </c>
      <c r="E62" s="45">
        <f>B62</f>
        <v>150</v>
      </c>
      <c r="G62" s="43">
        <f t="shared" si="4"/>
        <v>1</v>
      </c>
      <c r="H62" s="43">
        <f t="shared" si="5"/>
        <v>0</v>
      </c>
    </row>
    <row r="63" spans="1:8" x14ac:dyDescent="0.35">
      <c r="A63" s="52">
        <v>43384</v>
      </c>
      <c r="B63" s="41">
        <v>750</v>
      </c>
      <c r="C63" s="41">
        <f t="shared" si="2"/>
        <v>19300</v>
      </c>
      <c r="D63" s="42" t="s">
        <v>67</v>
      </c>
      <c r="F63" s="45">
        <f>B63</f>
        <v>750</v>
      </c>
      <c r="G63" s="43">
        <f t="shared" si="4"/>
        <v>0</v>
      </c>
      <c r="H63" s="43">
        <f t="shared" si="5"/>
        <v>1</v>
      </c>
    </row>
    <row r="64" spans="1:8" x14ac:dyDescent="0.35">
      <c r="A64" s="52">
        <v>43397</v>
      </c>
      <c r="B64" s="41">
        <v>750</v>
      </c>
      <c r="C64" s="41">
        <f t="shared" si="2"/>
        <v>20050</v>
      </c>
      <c r="D64" s="42" t="s">
        <v>67</v>
      </c>
      <c r="F64" s="45">
        <f>B64</f>
        <v>750</v>
      </c>
      <c r="G64" s="43">
        <f t="shared" si="4"/>
        <v>0</v>
      </c>
      <c r="H64" s="43">
        <f t="shared" si="5"/>
        <v>1</v>
      </c>
    </row>
    <row r="65" spans="1:8" x14ac:dyDescent="0.35">
      <c r="A65" s="52">
        <v>43404</v>
      </c>
      <c r="B65" s="41">
        <v>750</v>
      </c>
      <c r="C65" s="41">
        <f t="shared" si="2"/>
        <v>20800</v>
      </c>
      <c r="D65" s="42" t="s">
        <v>67</v>
      </c>
      <c r="F65" s="45">
        <f>B65</f>
        <v>750</v>
      </c>
      <c r="G65" s="43">
        <f t="shared" si="4"/>
        <v>0</v>
      </c>
      <c r="H65" s="43">
        <f t="shared" si="5"/>
        <v>1</v>
      </c>
    </row>
    <row r="66" spans="1:8" x14ac:dyDescent="0.35">
      <c r="A66" s="52">
        <v>43405</v>
      </c>
      <c r="B66" s="41">
        <v>150</v>
      </c>
      <c r="C66" s="41">
        <f t="shared" si="2"/>
        <v>20950</v>
      </c>
      <c r="D66" s="42" t="s">
        <v>74</v>
      </c>
      <c r="E66" s="45">
        <f>B66</f>
        <v>150</v>
      </c>
      <c r="G66" s="43">
        <f t="shared" si="4"/>
        <v>1</v>
      </c>
      <c r="H66" s="43">
        <f t="shared" si="5"/>
        <v>0</v>
      </c>
    </row>
    <row r="67" spans="1:8" x14ac:dyDescent="0.35">
      <c r="A67" s="52">
        <v>43419</v>
      </c>
      <c r="B67" s="41">
        <v>750</v>
      </c>
      <c r="C67" s="41">
        <f t="shared" si="2"/>
        <v>21700</v>
      </c>
      <c r="D67" s="42" t="s">
        <v>67</v>
      </c>
      <c r="F67" s="45">
        <f>B67</f>
        <v>750</v>
      </c>
      <c r="G67" s="43">
        <f t="shared" si="4"/>
        <v>0</v>
      </c>
      <c r="H67" s="43">
        <f t="shared" si="5"/>
        <v>1</v>
      </c>
    </row>
    <row r="68" spans="1:8" x14ac:dyDescent="0.35">
      <c r="A68" s="52">
        <v>43435</v>
      </c>
      <c r="B68" s="41">
        <v>150</v>
      </c>
      <c r="C68" s="41">
        <f t="shared" si="2"/>
        <v>21850</v>
      </c>
      <c r="D68" s="42" t="s">
        <v>74</v>
      </c>
      <c r="E68" s="45">
        <f t="shared" ref="E68:E80" si="6">B68</f>
        <v>150</v>
      </c>
      <c r="G68" s="43">
        <f t="shared" si="4"/>
        <v>1</v>
      </c>
      <c r="H68" s="43">
        <f t="shared" si="5"/>
        <v>0</v>
      </c>
    </row>
    <row r="69" spans="1:8" x14ac:dyDescent="0.35">
      <c r="A69" s="52">
        <v>43466</v>
      </c>
      <c r="B69" s="41">
        <v>200</v>
      </c>
      <c r="C69" s="41">
        <f t="shared" si="2"/>
        <v>22050</v>
      </c>
      <c r="D69" s="42" t="s">
        <v>74</v>
      </c>
      <c r="E69" s="45">
        <f t="shared" si="6"/>
        <v>200</v>
      </c>
      <c r="G69" s="43">
        <f t="shared" si="4"/>
        <v>1</v>
      </c>
      <c r="H69" s="43">
        <f t="shared" si="5"/>
        <v>0</v>
      </c>
    </row>
    <row r="70" spans="1:8" x14ac:dyDescent="0.35">
      <c r="A70" s="52">
        <v>43497</v>
      </c>
      <c r="B70" s="41">
        <v>200</v>
      </c>
      <c r="C70" s="41">
        <f t="shared" si="2"/>
        <v>22250</v>
      </c>
      <c r="D70" s="42" t="s">
        <v>74</v>
      </c>
      <c r="E70" s="45">
        <f t="shared" si="6"/>
        <v>200</v>
      </c>
      <c r="G70" s="43">
        <f t="shared" si="4"/>
        <v>1</v>
      </c>
      <c r="H70" s="43">
        <f t="shared" si="5"/>
        <v>0</v>
      </c>
    </row>
    <row r="71" spans="1:8" x14ac:dyDescent="0.35">
      <c r="A71" s="52">
        <v>43525</v>
      </c>
      <c r="B71" s="41">
        <v>200</v>
      </c>
      <c r="C71" s="41">
        <f t="shared" si="2"/>
        <v>22450</v>
      </c>
      <c r="D71" s="42" t="s">
        <v>74</v>
      </c>
      <c r="E71" s="45">
        <f t="shared" si="6"/>
        <v>200</v>
      </c>
      <c r="G71" s="43">
        <f t="shared" si="4"/>
        <v>1</v>
      </c>
      <c r="H71" s="43">
        <f t="shared" si="5"/>
        <v>0</v>
      </c>
    </row>
    <row r="72" spans="1:8" x14ac:dyDescent="0.35">
      <c r="A72" s="52">
        <v>43556</v>
      </c>
      <c r="B72" s="41">
        <v>0</v>
      </c>
      <c r="C72" s="41">
        <f t="shared" si="2"/>
        <v>22450</v>
      </c>
      <c r="D72" s="42" t="s">
        <v>74</v>
      </c>
      <c r="E72" s="45">
        <f t="shared" si="6"/>
        <v>0</v>
      </c>
      <c r="G72" s="43">
        <f t="shared" si="4"/>
        <v>0</v>
      </c>
      <c r="H72" s="43">
        <f t="shared" si="5"/>
        <v>0</v>
      </c>
    </row>
    <row r="73" spans="1:8" x14ac:dyDescent="0.35">
      <c r="A73" s="52">
        <v>43586</v>
      </c>
      <c r="B73" s="41">
        <v>0</v>
      </c>
      <c r="C73" s="41">
        <f t="shared" si="2"/>
        <v>22450</v>
      </c>
      <c r="D73" s="42" t="s">
        <v>74</v>
      </c>
      <c r="E73" s="45">
        <f t="shared" si="6"/>
        <v>0</v>
      </c>
      <c r="G73" s="43">
        <f t="shared" si="4"/>
        <v>0</v>
      </c>
      <c r="H73" s="43">
        <f t="shared" si="5"/>
        <v>0</v>
      </c>
    </row>
    <row r="74" spans="1:8" x14ac:dyDescent="0.35">
      <c r="A74" s="52">
        <v>43617</v>
      </c>
      <c r="B74" s="41">
        <v>0</v>
      </c>
      <c r="C74" s="41">
        <f t="shared" si="2"/>
        <v>22450</v>
      </c>
      <c r="D74" s="42" t="s">
        <v>74</v>
      </c>
      <c r="E74" s="45">
        <f t="shared" si="6"/>
        <v>0</v>
      </c>
      <c r="G74" s="43">
        <f t="shared" si="4"/>
        <v>0</v>
      </c>
      <c r="H74" s="43">
        <f t="shared" si="5"/>
        <v>0</v>
      </c>
    </row>
    <row r="75" spans="1:8" x14ac:dyDescent="0.35">
      <c r="A75" s="52">
        <v>43647</v>
      </c>
      <c r="B75" s="41">
        <v>0</v>
      </c>
      <c r="C75" s="41">
        <f t="shared" si="2"/>
        <v>22450</v>
      </c>
      <c r="D75" s="42" t="s">
        <v>74</v>
      </c>
      <c r="E75" s="45">
        <f t="shared" si="6"/>
        <v>0</v>
      </c>
      <c r="G75" s="43">
        <f t="shared" si="4"/>
        <v>0</v>
      </c>
      <c r="H75" s="43">
        <f t="shared" si="5"/>
        <v>0</v>
      </c>
    </row>
    <row r="76" spans="1:8" x14ac:dyDescent="0.35">
      <c r="A76" s="52">
        <v>43678</v>
      </c>
      <c r="B76" s="41">
        <v>0</v>
      </c>
      <c r="C76" s="41">
        <f t="shared" si="2"/>
        <v>22450</v>
      </c>
      <c r="D76" s="42" t="s">
        <v>74</v>
      </c>
      <c r="E76" s="45">
        <f t="shared" si="6"/>
        <v>0</v>
      </c>
      <c r="G76" s="43">
        <f t="shared" si="4"/>
        <v>0</v>
      </c>
      <c r="H76" s="43">
        <f t="shared" si="5"/>
        <v>0</v>
      </c>
    </row>
    <row r="77" spans="1:8" x14ac:dyDescent="0.35">
      <c r="A77" s="52">
        <v>43709</v>
      </c>
      <c r="B77" s="41">
        <v>0</v>
      </c>
      <c r="C77" s="41">
        <f t="shared" si="2"/>
        <v>22450</v>
      </c>
      <c r="D77" s="42" t="s">
        <v>74</v>
      </c>
      <c r="E77" s="45">
        <f t="shared" si="6"/>
        <v>0</v>
      </c>
      <c r="G77" s="43">
        <f t="shared" si="4"/>
        <v>0</v>
      </c>
      <c r="H77" s="43">
        <f t="shared" si="5"/>
        <v>0</v>
      </c>
    </row>
    <row r="78" spans="1:8" x14ac:dyDescent="0.35">
      <c r="A78" s="52">
        <v>43739</v>
      </c>
      <c r="B78" s="41">
        <v>0</v>
      </c>
      <c r="C78" s="41">
        <f t="shared" si="2"/>
        <v>22450</v>
      </c>
      <c r="D78" s="42" t="s">
        <v>74</v>
      </c>
      <c r="E78" s="45">
        <f t="shared" si="6"/>
        <v>0</v>
      </c>
      <c r="G78" s="43">
        <f t="shared" si="4"/>
        <v>0</v>
      </c>
      <c r="H78" s="43">
        <f t="shared" si="5"/>
        <v>0</v>
      </c>
    </row>
    <row r="79" spans="1:8" x14ac:dyDescent="0.35">
      <c r="A79" s="52">
        <v>43770</v>
      </c>
      <c r="B79" s="41">
        <v>0</v>
      </c>
      <c r="C79" s="41">
        <f t="shared" si="2"/>
        <v>22450</v>
      </c>
      <c r="D79" s="42" t="s">
        <v>74</v>
      </c>
      <c r="E79" s="45">
        <f t="shared" si="6"/>
        <v>0</v>
      </c>
      <c r="G79" s="43">
        <f t="shared" si="4"/>
        <v>0</v>
      </c>
      <c r="H79" s="43">
        <f t="shared" si="5"/>
        <v>0</v>
      </c>
    </row>
    <row r="80" spans="1:8" x14ac:dyDescent="0.35">
      <c r="A80" s="52">
        <v>43800</v>
      </c>
      <c r="B80" s="41">
        <v>0</v>
      </c>
      <c r="C80" s="41">
        <f t="shared" si="2"/>
        <v>22450</v>
      </c>
      <c r="D80" s="42" t="s">
        <v>74</v>
      </c>
      <c r="E80" s="45">
        <f t="shared" si="6"/>
        <v>0</v>
      </c>
      <c r="G80" s="43">
        <f t="shared" si="4"/>
        <v>0</v>
      </c>
      <c r="H80" s="43">
        <f t="shared" si="5"/>
        <v>0</v>
      </c>
    </row>
    <row r="81" spans="1:1" x14ac:dyDescent="0.35">
      <c r="A81" s="40"/>
    </row>
  </sheetData>
  <sortState ref="A18:I81">
    <sortCondition ref="A18"/>
  </sortState>
  <mergeCells count="5">
    <mergeCell ref="A5:C5"/>
    <mergeCell ref="A1:C1"/>
    <mergeCell ref="A2:B2"/>
    <mergeCell ref="A3:B3"/>
    <mergeCell ref="A4:B4"/>
  </mergeCells>
  <pageMargins left="0.7" right="0.7" top="0.75" bottom="0.75" header="0.3" footer="0.3"/>
  <pageSetup paperSize="9" orientation="portrait" horizontalDpi="4294967294" verticalDpi="4294967294" r:id="rId2"/>
  <ignoredErrors>
    <ignoredError sqref="C18" calculatedColumn="1"/>
  </ignoredErrors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Cours (2)</vt:lpstr>
      <vt:lpstr>Détail</vt:lpstr>
      <vt:lpstr>a</vt:lpstr>
      <vt:lpstr>'Cours (2)'!Cotation</vt:lpstr>
      <vt:lpstr>d</vt:lpstr>
      <vt:lpstr>e</vt:lpstr>
      <vt:lpstr>'Cours (2)'!REF</vt:lpstr>
      <vt:lpstr>'Cours (2)'!WWW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cp:lastPrinted>2017-10-24T06:09:27Z</cp:lastPrinted>
  <dcterms:created xsi:type="dcterms:W3CDTF">2006-09-16T00:00:00Z</dcterms:created>
  <dcterms:modified xsi:type="dcterms:W3CDTF">2019-03-06T08:56:41Z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e2053f17-6df2-4bc6-9525-40ba76ca3519</vt:lpwstr>
  </property>
</Properties>
</file>