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2440"/>
  </bookViews>
  <sheets>
    <sheet name="heures" sheetId="1" r:id="rId1"/>
    <sheet name="jours fériés" sheetId="4" r:id="rId2"/>
    <sheet name="heures nuit" sheetId="3" r:id="rId3"/>
  </sheets>
  <definedNames>
    <definedName name="DebNuit">'heures nuit'!$B$2</definedName>
    <definedName name="FinNuit">'heures nuit'!$B$1</definedName>
    <definedName name="JF">'jours fériés'!$C$1:$C$60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" i="1" l="1"/>
  <c r="U3" i="1"/>
  <c r="U4" i="1"/>
  <c r="L3" i="1" l="1"/>
  <c r="L4" i="1"/>
  <c r="L2" i="1"/>
  <c r="K3" i="1"/>
  <c r="P3" i="1" s="1"/>
  <c r="K4" i="1"/>
  <c r="K2" i="1"/>
  <c r="H2" i="1"/>
  <c r="H3" i="1"/>
  <c r="H4" i="1"/>
  <c r="G2" i="1"/>
  <c r="G3" i="1"/>
  <c r="G4" i="1"/>
  <c r="J2" i="1"/>
  <c r="J3" i="1"/>
  <c r="J4" i="1"/>
  <c r="I2" i="1"/>
  <c r="I3" i="1"/>
  <c r="I4" i="1"/>
  <c r="P4" i="1"/>
  <c r="R3" i="1"/>
  <c r="O2" i="1" l="1"/>
  <c r="O4" i="1"/>
  <c r="S3" i="1"/>
  <c r="R2" i="1"/>
  <c r="M3" i="1"/>
  <c r="M2" i="1"/>
  <c r="N2" i="1" s="1"/>
  <c r="O3" i="1"/>
  <c r="P2" i="1"/>
  <c r="Q2" i="1" s="1"/>
  <c r="M4" i="1"/>
  <c r="R4" i="1"/>
  <c r="Q4" i="1" s="1"/>
  <c r="S4" i="1" s="1"/>
  <c r="Q3" i="1"/>
  <c r="S2" i="1" l="1"/>
  <c r="T4" i="1"/>
  <c r="V4" i="1" s="1"/>
  <c r="W4" i="1" s="1"/>
  <c r="T2" i="1"/>
  <c r="T3" i="1"/>
  <c r="V3" i="1" s="1"/>
  <c r="W3" i="1" s="1"/>
  <c r="N4" i="1"/>
  <c r="N3" i="1"/>
  <c r="C59" i="4"/>
  <c r="C58" i="4"/>
  <c r="C57" i="4"/>
  <c r="C53" i="4"/>
  <c r="C50" i="4"/>
  <c r="C55" i="4" s="1"/>
  <c r="C49" i="4"/>
  <c r="A49" i="4"/>
  <c r="C60" i="4" s="1"/>
  <c r="C37" i="4"/>
  <c r="A37" i="4"/>
  <c r="C48" i="4" s="1"/>
  <c r="C33" i="4"/>
  <c r="C29" i="4"/>
  <c r="C25" i="4"/>
  <c r="A25" i="4"/>
  <c r="C36" i="4" s="1"/>
  <c r="A13" i="4"/>
  <c r="C24" i="4" s="1"/>
  <c r="C23" i="4"/>
  <c r="C22" i="4"/>
  <c r="C21" i="4"/>
  <c r="C20" i="4"/>
  <c r="C17" i="4"/>
  <c r="C16" i="4"/>
  <c r="C14" i="4"/>
  <c r="C15" i="4" s="1"/>
  <c r="C13" i="4"/>
  <c r="C12" i="4"/>
  <c r="C11" i="4"/>
  <c r="C10" i="4"/>
  <c r="C9" i="4"/>
  <c r="C8" i="4"/>
  <c r="C5" i="4"/>
  <c r="C4" i="4"/>
  <c r="C2" i="4"/>
  <c r="C1" i="4"/>
  <c r="V2" i="1" l="1"/>
  <c r="W2" i="1" s="1"/>
  <c r="C54" i="4"/>
  <c r="C51" i="4"/>
  <c r="C52" i="4"/>
  <c r="C56" i="4"/>
  <c r="C41" i="4"/>
  <c r="C45" i="4"/>
  <c r="C38" i="4"/>
  <c r="C46" i="4"/>
  <c r="C47" i="4"/>
  <c r="C40" i="4"/>
  <c r="C44" i="4"/>
  <c r="C26" i="4"/>
  <c r="C34" i="4"/>
  <c r="C35" i="4"/>
  <c r="C28" i="4"/>
  <c r="C32" i="4"/>
  <c r="C18" i="4"/>
  <c r="C19" i="4"/>
  <c r="C3" i="4"/>
  <c r="C7" i="4"/>
  <c r="C6" i="4"/>
  <c r="X4" i="1" l="1"/>
  <c r="X2" i="1"/>
  <c r="X3" i="1"/>
  <c r="C43" i="4"/>
  <c r="C39" i="4"/>
  <c r="C42" i="4"/>
  <c r="C31" i="4"/>
  <c r="C27" i="4"/>
  <c r="C30" i="4"/>
</calcChain>
</file>

<file path=xl/comments1.xml><?xml version="1.0" encoding="utf-8"?>
<comments xmlns="http://schemas.openxmlformats.org/spreadsheetml/2006/main">
  <authors>
    <author>Michel</author>
    <author>Auteur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1 = lundi, 7 = dimanche</t>
        </r>
      </text>
    </comment>
    <comment ref="K1" authorId="1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L1" authorId="1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M1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de 0h à 7h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de 22h à minuit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de minuit à 7h</t>
        </r>
      </text>
    </comment>
    <comment ref="R1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de 22h à minuit le lendemain</t>
        </r>
      </text>
    </comment>
  </commentList>
</comments>
</file>

<file path=xl/sharedStrings.xml><?xml version="1.0" encoding="utf-8"?>
<sst xmlns="http://schemas.openxmlformats.org/spreadsheetml/2006/main" count="91" uniqueCount="42">
  <si>
    <t>Date</t>
  </si>
  <si>
    <t>Objet</t>
  </si>
  <si>
    <t>Feu d'artifice</t>
  </si>
  <si>
    <t>Inondation</t>
  </si>
  <si>
    <t>Recup</t>
  </si>
  <si>
    <t>Début</t>
  </si>
  <si>
    <t>Fin</t>
  </si>
  <si>
    <t>JourSem</t>
  </si>
  <si>
    <t>Récup</t>
  </si>
  <si>
    <t>Jour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</si>
  <si>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</si>
  <si>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</si>
  <si>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</si>
  <si>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</si>
  <si>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</si>
  <si>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</si>
  <si>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</si>
  <si>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</si>
  <si>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</si>
  <si>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</si>
  <si>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</si>
  <si>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</si>
  <si>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Hdébut</t>
  </si>
  <si>
    <t>Hfin</t>
  </si>
  <si>
    <t>NUIT1.1</t>
  </si>
  <si>
    <t>JOUR1</t>
  </si>
  <si>
    <t>NUIT1.2</t>
  </si>
  <si>
    <t>NUIT2.1</t>
  </si>
  <si>
    <t>JOUR2</t>
  </si>
  <si>
    <t>NUIT2.2</t>
  </si>
  <si>
    <t>Début Nuit</t>
  </si>
  <si>
    <t>Fin Nuit</t>
  </si>
  <si>
    <t>Non</t>
  </si>
  <si>
    <t>Férié J1</t>
  </si>
  <si>
    <t>Férié J2</t>
  </si>
  <si>
    <t>Jour de repos</t>
  </si>
  <si>
    <t>Cumul</t>
  </si>
  <si>
    <t>Autre (25%)</t>
  </si>
  <si>
    <t>Repos (50%)</t>
  </si>
  <si>
    <t>Nuit (100%)</t>
  </si>
  <si>
    <t>Dim/JF (100%)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</si>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</sst>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"/>
    <numFmt numFmtId="165" formatCode="[hh]:mm"/>
    <numFmt numFmtId="166" formatCode="ddd\ dd/mm/yyyy"/>
    <numFmt numFmtId="167" formatCode="d\ * hh:mm"/>
    <numFmt numFmtId="169" formatCode="0.000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20" fontId="0" fillId="0" borderId="0" xfId="0" applyNumberFormat="1"/>
    <xf numFmtId="0" fontId="2" fillId="0" borderId="0" xfId="0" applyFont="1" applyFill="1" applyBorder="1" applyAlignment="1"/>
    <xf numFmtId="0" fontId="3" fillId="0" borderId="0" xfId="0" applyFont="1" applyBorder="1" applyAlignment="1"/>
    <xf numFmtId="166" fontId="3" fillId="0" borderId="0" xfId="0" applyNumberFormat="1" applyFont="1" applyFill="1" applyBorder="1" applyAlignment="1"/>
    <xf numFmtId="0" fontId="0" fillId="0" borderId="0" xfId="0" applyAlignment="1"/>
    <xf numFmtId="167" fontId="1" fillId="0" borderId="0" xfId="0" applyNumberFormat="1" applyFont="1" applyAlignment="1">
      <alignment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6" fillId="0" borderId="0" xfId="0" applyNumberFormat="1" applyFont="1" applyAlignment="1">
      <alignment vertical="center" wrapText="1"/>
    </xf>
    <xf numFmtId="167" fontId="6" fillId="0" borderId="0" xfId="0" applyNumberFormat="1" applyFont="1" applyAlignment="1">
      <alignment vertical="center" wrapText="1"/>
    </xf>
    <xf numFmtId="165" fontId="6" fillId="0" borderId="0" xfId="0" applyNumberFormat="1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164" fontId="7" fillId="0" borderId="0" xfId="0" applyNumberFormat="1" applyFont="1"/>
    <xf numFmtId="0" fontId="7" fillId="0" borderId="0" xfId="0" applyFont="1"/>
    <xf numFmtId="167" fontId="8" fillId="0" borderId="0" xfId="0" applyNumberFormat="1" applyFont="1"/>
    <xf numFmtId="165" fontId="8" fillId="0" borderId="0" xfId="0" applyNumberFormat="1" applyFont="1" applyBorder="1" applyAlignment="1"/>
    <xf numFmtId="165" fontId="8" fillId="0" borderId="0" xfId="0" applyNumberFormat="1" applyFont="1" applyAlignment="1"/>
    <xf numFmtId="0" fontId="7" fillId="0" borderId="0" xfId="0" applyNumberFormat="1" applyFont="1"/>
    <xf numFmtId="169" fontId="6" fillId="0" borderId="0" xfId="0" applyNumberFormat="1" applyFont="1" applyAlignment="1">
      <alignment vertical="center" wrapText="1"/>
    </xf>
    <xf numFmtId="169" fontId="8" fillId="0" borderId="0" xfId="0" applyNumberFormat="1" applyFont="1" applyAlignment="1"/>
    <xf numFmtId="169" fontId="7" fillId="0" borderId="0" xfId="0" applyNumberFormat="1" applyFont="1"/>
  </cellXfs>
  <cellStyles count="1">
    <cellStyle name="Normal" xfId="0" builtinId="0"/>
  </cellStyles>
  <dxfs count="26"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0.000"/>
      <alignment horizontal="general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0.000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  <numFmt numFmtId="164" formatCode="d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6</xdr:row>
      <xdr:rowOff>63500</xdr:rowOff>
    </xdr:from>
    <xdr:to>
      <xdr:col>6</xdr:col>
      <xdr:colOff>234950</xdr:colOff>
      <xdr:row>11</xdr:row>
      <xdr:rowOff>38100</xdr:rowOff>
    </xdr:to>
    <xdr:sp macro="" textlink="">
      <xdr:nvSpPr>
        <xdr:cNvPr id="2" name="ZoneTexte 1"/>
        <xdr:cNvSpPr txBox="1"/>
      </xdr:nvSpPr>
      <xdr:spPr>
        <a:xfrm>
          <a:off x="107950" y="1168400"/>
          <a:ext cx="429895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Toute heure supp est majorée de minimum 25%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Heures supp sur un jour de repos 50%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Heures supp dimanche, jour férié et de nuit (de 22h à 07h00) majorée à 100%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est" displayName="test" ref="A1:X4" totalsRowShown="0" headerRowDxfId="25" dataDxfId="24">
  <autoFilter ref="A1:X4"/>
  <tableColumns count="24">
    <tableColumn id="1" name="Date" dataDxfId="23"/>
    <tableColumn id="2" name="Objet" dataDxfId="22"/>
    <tableColumn id="6" name="Jour de repos" dataDxfId="21"/>
    <tableColumn id="4" name="Début" dataDxfId="20"/>
    <tableColumn id="5" name="Fin" dataDxfId="19"/>
    <tableColumn id="3" name="Récup" dataDxfId="18"/>
    <tableColumn id="13" name="Jour" dataDxfId="17">
      <calculatedColumnFormula>test[[#This Row],[Date]]</calculatedColumnFormula>
    </tableColumn>
    <tableColumn id="7" name="JourSem" dataDxfId="16">
      <calculatedColumnFormula>WEEKDAY(test[[#This Row],[Date]],2)</calculatedColumnFormula>
    </tableColumn>
    <tableColumn id="8" name="Férié J1" dataDxfId="15">
      <calculatedColumnFormula>IF(COUNTIF(JF,test[[#This Row],[Date]])&gt;0,"Oui","Non")</calculatedColumnFormula>
    </tableColumn>
    <tableColumn id="9" name="Férié J2" dataDxfId="14">
      <calculatedColumnFormula>IF(COUNTIF(JF,test[[#This Row],[Date]]+1)&gt;0,"Oui","Non")</calculatedColumnFormula>
    </tableColumn>
    <tableColumn id="23" name="Hdébut" dataDxfId="13">
      <calculatedColumnFormula>test[[#This Row],[Début]]</calculatedColumnFormula>
    </tableColumn>
    <tableColumn id="12" name="Hfin" dataDxfId="12">
      <calculatedColumnFormula>test[[#This Row],[Fin]]+IF(test[[#This Row],[Fin]]&lt;test[[#This Row],[Début]],1,0)</calculatedColumnFormula>
    </tableColumn>
    <tableColumn id="11" name="NUIT1.1" dataDxfId="11">
      <calculatedColumnFormula>MIN(FinNuit,MIN(1,test[[#This Row],[Hfin]]))-MIN(FinNuit,test[[#This Row],[Hdébut]])</calculatedColumnFormula>
    </tableColumn>
    <tableColumn id="10" name="JOUR1" dataDxfId="10">
      <calculatedColumnFormula>MAX(0,(MIN(1,test[[#This Row],[Hfin]])-test[[#This Row],[Hdébut]])-test[[#This Row],[NUIT1.1]]-test[[#This Row],[NUIT1.2]])</calculatedColumnFormula>
    </tableColumn>
    <tableColumn id="18" name="NUIT1.2" dataDxfId="9">
      <calculatedColumnFormula>MAX(0,(MAX(0,(MIN(1,test[[#This Row],[Hfin]])-DebNuit))-MAX(0,(test[[#This Row],[Hdébut]]-DebNuit))))</calculatedColumnFormula>
    </tableColumn>
    <tableColumn id="20" name="NUIT2.1" dataDxfId="8">
      <calculatedColumnFormula>MAX(0,MIN(1+FinNuit,test[[#This Row],[Hfin]])-MAX(1,test[[#This Row],[Hdébut]]))</calculatedColumnFormula>
    </tableColumn>
    <tableColumn id="19" name="JOUR2" dataDxfId="7">
      <calculatedColumnFormula>MAX(0,test[[#This Row],[Hfin]]-MAX(1,test[[#This Row],[Hdébut]]))-test[[#This Row],[NUIT2.1]]-test[[#This Row],[NUIT2.2]]</calculatedColumnFormula>
    </tableColumn>
    <tableColumn id="21" name="NUIT2.2" dataDxfId="6">
      <calculatedColumnFormula>MAX(0,(test[[#This Row],[Hfin]]-DebNuit-1))</calculatedColumnFormula>
    </tableColumn>
    <tableColumn id="14" name="Dim/JF (100%)" dataDxfId="5">
      <calculatedColumnFormula>IF(OR(test[[#This Row],[JourSem]]=7,test[[#This Row],[Férié J1]]="Oui"),test[[#This Row],[NUIT1.1]]+test[[#This Row],[JOUR1]]+test[[#This Row],[NUIT1.2]],0)
+IF(OR(test[[#This Row],[JourSem]]=6,test[[#This Row],[Férié J2]]="Oui"),test[[#This Row],[NUIT2.1]]+test[[#This Row],[JOUR2]]+test[[#This Row],[NUIT2.2]],0)</calculatedColumnFormula>
    </tableColumn>
    <tableColumn id="15" name="Nuit (100%)" dataDxfId="4">
      <calculatedColumnFormula>IF(OR(test[[#This Row],[JourSem]]=7,test[[#This Row],[Férié J1]]="Oui"),0,test[[#This Row],[NUIT1.1]]+test[[#This Row],[NUIT1.2]])
+IF(OR(test[[#This Row],[JourSem]]=6,test[[#This Row],[Férié J2]]="Oui"),0,test[[#This Row],[NUIT2.1]]+test[[#This Row],[NUIT2.2]])</calculatedColumnFormula>
    </tableColumn>
    <tableColumn id="16" name="Repos (50%)" dataDxfId="0">
      <calculatedColumnFormula>IF(LEFT(test[[#This Row],[Jour de repos]],1)="O",test[[#This Row],[Hfin]]-test[[#This Row],[Hdébut]]-test[[#This Row],[Nuit (100%)]]-test[[#This Row],[Dim/JF (100%)]],0)</calculatedColumnFormula>
    </tableColumn>
    <tableColumn id="17" name="Autre (25%)" dataDxfId="3">
      <calculatedColumnFormula>test[[#This Row],[Hfin]]-test[[#This Row],[Hdébut]]-test[[#This Row],[Nuit (100%)]]-test[[#This Row],[Dim/JF (100%)]]-test[[#This Row],[Repos (50%)]]</calculatedColumnFormula>
    </tableColumn>
    <tableColumn id="24" name="Total" dataDxfId="2">
      <calculatedColumnFormula>(test[[#This Row],[Dim/JF (100%)]]*2+test[[#This Row],[Nuit (100%)]]*2+test[[#This Row],[Repos (50%)]]*1.5+test[[#This Row],[Autre (25%)]]*1.25-test[[#This Row],[Récup]])*24</calculatedColumnFormula>
    </tableColumn>
    <tableColumn id="22" name="Cumul" dataDxfId="1">
      <calculatedColumnFormula>SUM(OFFSET(test[[#Headers],[Total]],1,,ROW(test[[#This Row],[Total]])-ROW(test[[#Headers],[Total]])))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4"/>
  <sheetViews>
    <sheetView showZeros="0" tabSelected="1" workbookViewId="0">
      <selection activeCell="C3" sqref="C3"/>
    </sheetView>
  </sheetViews>
  <sheetFormatPr baseColWidth="10" defaultRowHeight="14.5" outlineLevelCol="1" x14ac:dyDescent="0.35"/>
  <cols>
    <col min="1" max="1" width="14.81640625" customWidth="1"/>
    <col min="2" max="2" width="16" customWidth="1"/>
    <col min="3" max="3" width="15.7265625" bestFit="1" customWidth="1"/>
    <col min="4" max="5" width="9.453125" customWidth="1"/>
    <col min="6" max="6" width="8.1796875" bestFit="1" customWidth="1"/>
    <col min="7" max="7" width="6.6328125" style="14" bestFit="1" customWidth="1"/>
    <col min="8" max="8" width="10.1796875" style="15" hidden="1" customWidth="1" outlineLevel="1"/>
    <col min="9" max="10" width="9.26953125" style="15" hidden="1" customWidth="1" outlineLevel="1"/>
    <col min="11" max="11" width="9.36328125" style="15" hidden="1" customWidth="1" outlineLevel="1"/>
    <col min="12" max="12" width="9.453125" style="15" hidden="1" customWidth="1" outlineLevel="1"/>
    <col min="13" max="13" width="9.7265625" style="15" hidden="1" customWidth="1" outlineLevel="1"/>
    <col min="14" max="14" width="8.453125" style="15" hidden="1" customWidth="1" outlineLevel="1"/>
    <col min="15" max="16" width="9.7265625" style="15" hidden="1" customWidth="1" outlineLevel="1"/>
    <col min="17" max="17" width="8.453125" style="15" hidden="1" customWidth="1" outlineLevel="1"/>
    <col min="18" max="18" width="9.7265625" style="15" hidden="1" customWidth="1" outlineLevel="1"/>
    <col min="19" max="19" width="8.81640625" style="15" bestFit="1" customWidth="1" collapsed="1"/>
    <col min="20" max="21" width="10" style="15" customWidth="1"/>
    <col min="22" max="22" width="8.36328125" style="15" customWidth="1"/>
    <col min="23" max="24" width="10.26953125" style="22" customWidth="1"/>
  </cols>
  <sheetData>
    <row r="1" spans="1:24" ht="29" x14ac:dyDescent="0.35">
      <c r="A1" s="7" t="s">
        <v>0</v>
      </c>
      <c r="B1" s="7" t="s">
        <v>1</v>
      </c>
      <c r="C1" s="7" t="s">
        <v>35</v>
      </c>
      <c r="D1" s="7" t="s">
        <v>5</v>
      </c>
      <c r="E1" s="7" t="s">
        <v>6</v>
      </c>
      <c r="F1" s="7" t="s">
        <v>8</v>
      </c>
      <c r="G1" s="10" t="s">
        <v>9</v>
      </c>
      <c r="H1" s="11" t="s">
        <v>7</v>
      </c>
      <c r="I1" s="11" t="s">
        <v>33</v>
      </c>
      <c r="J1" s="11" t="s">
        <v>34</v>
      </c>
      <c r="K1" s="11" t="s">
        <v>22</v>
      </c>
      <c r="L1" s="11" t="s">
        <v>23</v>
      </c>
      <c r="M1" s="12" t="s">
        <v>24</v>
      </c>
      <c r="N1" s="12" t="s">
        <v>25</v>
      </c>
      <c r="O1" s="12" t="s">
        <v>26</v>
      </c>
      <c r="P1" s="12" t="s">
        <v>27</v>
      </c>
      <c r="Q1" s="12" t="s">
        <v>28</v>
      </c>
      <c r="R1" s="12" t="s">
        <v>29</v>
      </c>
      <c r="S1" s="13" t="s">
        <v>40</v>
      </c>
      <c r="T1" s="13" t="s">
        <v>39</v>
      </c>
      <c r="U1" s="13" t="s">
        <v>38</v>
      </c>
      <c r="V1" s="13" t="s">
        <v>37</v>
      </c>
      <c r="W1" s="20" t="s">
        <v>41</v>
      </c>
      <c r="X1" s="20" t="s">
        <v>36</v>
      </c>
    </row>
    <row r="2" spans="1:24" x14ac:dyDescent="0.35">
      <c r="A2" s="1">
        <v>43294</v>
      </c>
      <c r="B2" t="s">
        <v>2</v>
      </c>
      <c r="C2" t="s">
        <v>32</v>
      </c>
      <c r="D2" s="2">
        <v>0.64583333333333337</v>
      </c>
      <c r="E2" s="2">
        <v>0.10416666666666667</v>
      </c>
      <c r="G2" s="14">
        <f>test[[#This Row],[Date]]</f>
        <v>43294</v>
      </c>
      <c r="H2" s="15">
        <f>WEEKDAY(test[[#This Row],[Date]],2)</f>
        <v>5</v>
      </c>
      <c r="I2" s="15" t="str">
        <f>IF(COUNTIF(JF,test[[#This Row],[Date]])&gt;0,"Oui","Non")</f>
        <v>Non</v>
      </c>
      <c r="J2" s="15" t="str">
        <f>IF(COUNTIF(JF,test[[#This Row],[Date]]+1)&gt;0,"Oui","Non")</f>
        <v>Oui</v>
      </c>
      <c r="K2" s="16">
        <f>test[[#This Row],[Début]]</f>
        <v>0.64583333333333337</v>
      </c>
      <c r="L2" s="16">
        <f>test[[#This Row],[Fin]]+IF(test[[#This Row],[Fin]]&lt;test[[#This Row],[Début]],1,0)</f>
        <v>1.1041666666666667</v>
      </c>
      <c r="M2" s="17">
        <f>MIN(FinNuit,MIN(1,test[[#This Row],[Hfin]]))-MIN(FinNuit,test[[#This Row],[Hdébut]])</f>
        <v>0</v>
      </c>
      <c r="N2" s="17">
        <f>MAX(0,(MIN(1,test[[#This Row],[Hfin]])-test[[#This Row],[Hdébut]])-test[[#This Row],[NUIT1.1]]-test[[#This Row],[NUIT1.2]])</f>
        <v>0.27083333333333326</v>
      </c>
      <c r="O2" s="17">
        <f>MAX(0,(MAX(0,(MIN(1,test[[#This Row],[Hfin]])-DebNuit))-MAX(0,(test[[#This Row],[Hdébut]]-DebNuit))))</f>
        <v>8.333333333333337E-2</v>
      </c>
      <c r="P2" s="17">
        <f>MAX(0,MIN(1+FinNuit,test[[#This Row],[Hfin]])-MAX(1,test[[#This Row],[Hdébut]]))</f>
        <v>0.10416666666666674</v>
      </c>
      <c r="Q2" s="17">
        <f>MAX(0,test[[#This Row],[Hfin]]-MAX(1,test[[#This Row],[Hdébut]]))-test[[#This Row],[NUIT2.1]]-test[[#This Row],[NUIT2.2]]</f>
        <v>0</v>
      </c>
      <c r="R2" s="17">
        <f>MAX(0,(test[[#This Row],[Hfin]]-DebNuit-1))</f>
        <v>0</v>
      </c>
      <c r="S2" s="18">
        <f>IF(OR(test[[#This Row],[JourSem]]=7,test[[#This Row],[Férié J1]]="Oui"),test[[#This Row],[NUIT1.1]]+test[[#This Row],[JOUR1]]+test[[#This Row],[NUIT1.2]],0)
+IF(OR(test[[#This Row],[JourSem]]=6,test[[#This Row],[Férié J2]]="Oui"),test[[#This Row],[NUIT2.1]]+test[[#This Row],[JOUR2]]+test[[#This Row],[NUIT2.2]],0)</f>
        <v>0.10416666666666674</v>
      </c>
      <c r="T2" s="18">
        <f>IF(OR(test[[#This Row],[JourSem]]=7,test[[#This Row],[Férié J1]]="Oui"),0,test[[#This Row],[NUIT1.1]]+test[[#This Row],[NUIT1.2]])
+IF(OR(test[[#This Row],[JourSem]]=6,test[[#This Row],[Férié J2]]="Oui"),0,test[[#This Row],[NUIT2.1]]+test[[#This Row],[NUIT2.2]])</f>
        <v>8.333333333333337E-2</v>
      </c>
      <c r="U2" s="18">
        <f>IF(LEFT(test[[#This Row],[Jour de repos]],1)="O",test[[#This Row],[Hfin]]-test[[#This Row],[Hdébut]]-test[[#This Row],[Nuit (100%)]]-test[[#This Row],[Dim/JF (100%)]],0)</f>
        <v>0</v>
      </c>
      <c r="V2" s="18">
        <f>test[[#This Row],[Hfin]]-test[[#This Row],[Hdébut]]-test[[#This Row],[Nuit (100%)]]-test[[#This Row],[Dim/JF (100%)]]-test[[#This Row],[Repos (50%)]]</f>
        <v>0.27083333333333326</v>
      </c>
      <c r="W2" s="21">
        <f>(test[[#This Row],[Dim/JF (100%)]]*2+test[[#This Row],[Nuit (100%)]]*2+test[[#This Row],[Repos (50%)]]*1.5+test[[#This Row],[Autre (25%)]]*1.25-test[[#This Row],[Récup]])*24</f>
        <v>17.125</v>
      </c>
      <c r="X2" s="21">
        <f ca="1">SUM(OFFSET(test[[#Headers],[Total]],1,,ROW(test[[#This Row],[Total]])-ROW(test[[#Headers],[Total]])))</f>
        <v>17.125</v>
      </c>
    </row>
    <row r="3" spans="1:24" x14ac:dyDescent="0.35">
      <c r="A3" s="1">
        <v>43301</v>
      </c>
      <c r="B3" t="s">
        <v>3</v>
      </c>
      <c r="C3" t="s">
        <v>32</v>
      </c>
      <c r="D3" s="2">
        <v>0.8125</v>
      </c>
      <c r="E3" s="2">
        <v>0.89583333333333337</v>
      </c>
      <c r="G3" s="14">
        <f>test[[#This Row],[Date]]</f>
        <v>43301</v>
      </c>
      <c r="H3" s="15">
        <f>WEEKDAY(test[[#This Row],[Date]],2)</f>
        <v>5</v>
      </c>
      <c r="I3" s="15" t="str">
        <f>IF(COUNTIF(JF,test[[#This Row],[Date]])&gt;0,"Oui","Non")</f>
        <v>Non</v>
      </c>
      <c r="J3" s="15" t="str">
        <f>IF(COUNTIF(JF,test[[#This Row],[Date]]+1)&gt;0,"Oui","Non")</f>
        <v>Non</v>
      </c>
      <c r="K3" s="16">
        <f>test[[#This Row],[Début]]</f>
        <v>0.8125</v>
      </c>
      <c r="L3" s="16">
        <f>test[[#This Row],[Fin]]+IF(test[[#This Row],[Fin]]&lt;test[[#This Row],[Début]],1,0)</f>
        <v>0.89583333333333337</v>
      </c>
      <c r="M3" s="17">
        <f>MIN(FinNuit,MIN(1,test[[#This Row],[Hfin]]))-MIN(FinNuit,test[[#This Row],[Hdébut]])</f>
        <v>0</v>
      </c>
      <c r="N3" s="17">
        <f>MAX(0,(MIN(1,test[[#This Row],[Hfin]])-test[[#This Row],[Hdébut]])-test[[#This Row],[NUIT1.1]]-test[[#This Row],[NUIT1.2]])</f>
        <v>8.333333333333337E-2</v>
      </c>
      <c r="O3" s="17">
        <f>MAX(0,(MAX(0,(MIN(1,test[[#This Row],[Hfin]])-DebNuit))-MAX(0,(test[[#This Row],[Hdébut]]-DebNuit))))</f>
        <v>0</v>
      </c>
      <c r="P3" s="17">
        <f>MAX(0,MIN(1+FinNuit,test[[#This Row],[Hfin]])-MAX(1,test[[#This Row],[Hdébut]]))</f>
        <v>0</v>
      </c>
      <c r="Q3" s="17">
        <f>MAX(0,test[[#This Row],[Hfin]]-MAX(1,test[[#This Row],[Hdébut]]))-test[[#This Row],[NUIT2.1]]-test[[#This Row],[NUIT2.2]]</f>
        <v>0</v>
      </c>
      <c r="R3" s="17">
        <f>MAX(0,(test[[#This Row],[Hfin]]-DebNuit-1))</f>
        <v>0</v>
      </c>
      <c r="S3" s="18">
        <f>IF(OR(test[[#This Row],[JourSem]]=7,test[[#This Row],[Férié J1]]="Oui"),test[[#This Row],[NUIT1.1]]+test[[#This Row],[JOUR1]]+test[[#This Row],[NUIT1.2]],0)
+IF(OR(test[[#This Row],[JourSem]]=6,test[[#This Row],[Férié J2]]="Oui"),test[[#This Row],[NUIT2.1]]+test[[#This Row],[JOUR2]]+test[[#This Row],[NUIT2.2]],0)</f>
        <v>0</v>
      </c>
      <c r="T3" s="18">
        <f>IF(OR(test[[#This Row],[JourSem]]=7,test[[#This Row],[Férié J1]]="Oui"),0,test[[#This Row],[NUIT1.1]]+test[[#This Row],[NUIT1.2]])
+IF(OR(test[[#This Row],[JourSem]]=6,test[[#This Row],[Férié J2]]="Oui"),0,test[[#This Row],[NUIT2.1]]+test[[#This Row],[NUIT2.2]])</f>
        <v>0</v>
      </c>
      <c r="U3" s="18">
        <f>IF(LEFT(test[[#This Row],[Jour de repos]],1)="O",test[[#This Row],[Hfin]]-test[[#This Row],[Hdébut]]-test[[#This Row],[Nuit (100%)]]-test[[#This Row],[Dim/JF (100%)]],0)</f>
        <v>0</v>
      </c>
      <c r="V3" s="18">
        <f>test[[#This Row],[Hfin]]-test[[#This Row],[Hdébut]]-test[[#This Row],[Nuit (100%)]]-test[[#This Row],[Dim/JF (100%)]]-test[[#This Row],[Repos (50%)]]</f>
        <v>8.333333333333337E-2</v>
      </c>
      <c r="W3" s="21">
        <f>(test[[#This Row],[Dim/JF (100%)]]*2+test[[#This Row],[Nuit (100%)]]*2+test[[#This Row],[Repos (50%)]]*1.5+test[[#This Row],[Autre (25%)]]*1.25-test[[#This Row],[Récup]])*24</f>
        <v>2.5000000000000009</v>
      </c>
      <c r="X3" s="21">
        <f ca="1">SUM(OFFSET(test[[#Headers],[Total]],1,,ROW(test[[#This Row],[Total]])-ROW(test[[#Headers],[Total]])))</f>
        <v>19.625</v>
      </c>
    </row>
    <row r="4" spans="1:24" x14ac:dyDescent="0.35">
      <c r="A4" s="1">
        <v>43344</v>
      </c>
      <c r="B4" t="s">
        <v>4</v>
      </c>
      <c r="F4" s="2">
        <v>0.29166666666666669</v>
      </c>
      <c r="G4" s="14">
        <f>test[[#This Row],[Date]]</f>
        <v>43344</v>
      </c>
      <c r="H4" s="19">
        <f>WEEKDAY(test[[#This Row],[Date]],2)</f>
        <v>6</v>
      </c>
      <c r="I4" s="19" t="str">
        <f>IF(COUNTIF(JF,test[[#This Row],[Date]])&gt;0,"Oui","Non")</f>
        <v>Non</v>
      </c>
      <c r="J4" s="19" t="str">
        <f>IF(COUNTIF(JF,test[[#This Row],[Date]]+1)&gt;0,"Oui","Non")</f>
        <v>Non</v>
      </c>
      <c r="K4" s="16">
        <f>test[[#This Row],[Début]]</f>
        <v>0</v>
      </c>
      <c r="L4" s="16">
        <f>test[[#This Row],[Fin]]+IF(test[[#This Row],[Fin]]&lt;test[[#This Row],[Début]],1,0)</f>
        <v>0</v>
      </c>
      <c r="M4" s="18">
        <f>MIN(FinNuit,MIN(1,test[[#This Row],[Hfin]]))-MIN(FinNuit,test[[#This Row],[Hdébut]])</f>
        <v>0</v>
      </c>
      <c r="N4" s="18">
        <f>MAX(0,(MIN(1,test[[#This Row],[Hfin]])-test[[#This Row],[Hdébut]])-test[[#This Row],[NUIT1.1]]-test[[#This Row],[NUIT1.2]])</f>
        <v>0</v>
      </c>
      <c r="O4" s="18">
        <f>MAX(0,(MAX(0,(MIN(1,test[[#This Row],[Hfin]])-DebNuit))-MAX(0,(test[[#This Row],[Hdébut]]-DebNuit))))</f>
        <v>0</v>
      </c>
      <c r="P4" s="18">
        <f>MAX(0,MIN(1+FinNuit,test[[#This Row],[Hfin]])-MAX(1,test[[#This Row],[Hdébut]]))</f>
        <v>0</v>
      </c>
      <c r="Q4" s="18">
        <f>MAX(0,test[[#This Row],[Hfin]]-MAX(1,test[[#This Row],[Hdébut]]))-test[[#This Row],[NUIT2.1]]-test[[#This Row],[NUIT2.2]]</f>
        <v>0</v>
      </c>
      <c r="R4" s="18">
        <f>MAX(0,(test[[#This Row],[Hfin]]-DebNuit-1))</f>
        <v>0</v>
      </c>
      <c r="S4" s="18">
        <f>IF(OR(test[[#This Row],[JourSem]]=7,test[[#This Row],[Férié J1]]="Oui"),test[[#This Row],[NUIT1.1]]+test[[#This Row],[JOUR1]]+test[[#This Row],[NUIT1.2]],0)
+IF(OR(test[[#This Row],[JourSem]]=6,test[[#This Row],[Férié J2]]="Oui"),test[[#This Row],[NUIT2.1]]+test[[#This Row],[JOUR2]]+test[[#This Row],[NUIT2.2]],0)</f>
        <v>0</v>
      </c>
      <c r="T4" s="18">
        <f>IF(OR(test[[#This Row],[JourSem]]=7,test[[#This Row],[Férié J1]]="Oui"),0,test[[#This Row],[NUIT1.1]]+test[[#This Row],[NUIT1.2]])
+IF(OR(test[[#This Row],[JourSem]]=6,test[[#This Row],[Férié J2]]="Oui"),0,test[[#This Row],[NUIT2.1]]+test[[#This Row],[NUIT2.2]])</f>
        <v>0</v>
      </c>
      <c r="U4" s="18">
        <f>IF(LEFT(test[[#This Row],[Jour de repos]],1)="O",test[[#This Row],[Hfin]]-test[[#This Row],[Hdébut]]-test[[#This Row],[Nuit (100%)]]-test[[#This Row],[Dim/JF (100%)]],0)</f>
        <v>0</v>
      </c>
      <c r="V4" s="18">
        <f>test[[#This Row],[Hfin]]-test[[#This Row],[Hdébut]]-test[[#This Row],[Nuit (100%)]]-test[[#This Row],[Dim/JF (100%)]]-test[[#This Row],[Repos (50%)]]</f>
        <v>0</v>
      </c>
      <c r="W4" s="21">
        <f>(test[[#This Row],[Dim/JF (100%)]]*2+test[[#This Row],[Nuit (100%)]]*2+test[[#This Row],[Repos (50%)]]*1.5+test[[#This Row],[Autre (25%)]]*1.25-test[[#This Row],[Récup]])*24</f>
        <v>-7</v>
      </c>
      <c r="X4" s="21">
        <f ca="1">SUM(OFFSET(test[[#Headers],[Total]],1,,ROW(test[[#This Row],[Total]])-ROW(test[[#Headers],[Total]])))</f>
        <v>12.625</v>
      </c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workbookViewId="0">
      <selection activeCell="C1" sqref="C1:C60"/>
    </sheetView>
  </sheetViews>
  <sheetFormatPr baseColWidth="10" defaultRowHeight="14.5" x14ac:dyDescent="0.35"/>
  <cols>
    <col min="1" max="1" width="10.90625" style="6"/>
    <col min="2" max="2" width="18.81640625" style="6" customWidth="1"/>
    <col min="3" max="3" width="16.90625" style="6" customWidth="1"/>
    <col min="4" max="16384" width="10.90625" style="6"/>
  </cols>
  <sheetData>
    <row r="1" spans="1:3" x14ac:dyDescent="0.35">
      <c r="A1" s="3">
        <v>2018</v>
      </c>
      <c r="B1" s="4" t="s">
        <v>10</v>
      </c>
      <c r="C1" s="5">
        <f>DATE(A1,1,1)</f>
        <v>43101</v>
      </c>
    </row>
    <row r="2" spans="1:3" x14ac:dyDescent="0.35">
      <c r="A2" s="4"/>
      <c r="B2" s="4" t="s">
        <v>11</v>
      </c>
      <c r="C2" s="5">
        <f>ROUND(DATE(A1,4,MOD(234-11*MOD(A1,19),30))/7,0)*7-6</f>
        <v>43191</v>
      </c>
    </row>
    <row r="3" spans="1:3" x14ac:dyDescent="0.35">
      <c r="A3" s="4"/>
      <c r="B3" s="4" t="s">
        <v>12</v>
      </c>
      <c r="C3" s="5">
        <f>C2+1</f>
        <v>43192</v>
      </c>
    </row>
    <row r="4" spans="1:3" x14ac:dyDescent="0.35">
      <c r="A4" s="4"/>
      <c r="B4" s="4" t="s">
        <v>13</v>
      </c>
      <c r="C4" s="5">
        <f>DATE(A1,5,1)</f>
        <v>43221</v>
      </c>
    </row>
    <row r="5" spans="1:3" x14ac:dyDescent="0.35">
      <c r="A5" s="4"/>
      <c r="B5" s="4" t="s">
        <v>14</v>
      </c>
      <c r="C5" s="5">
        <f>DATE(A1,5,8)</f>
        <v>43228</v>
      </c>
    </row>
    <row r="6" spans="1:3" x14ac:dyDescent="0.35">
      <c r="A6" s="4"/>
      <c r="B6" s="4" t="s">
        <v>15</v>
      </c>
      <c r="C6" s="5">
        <f>C2+39</f>
        <v>43230</v>
      </c>
    </row>
    <row r="7" spans="1:3" x14ac:dyDescent="0.35">
      <c r="A7" s="4"/>
      <c r="B7" s="4" t="s">
        <v>16</v>
      </c>
      <c r="C7" s="5">
        <f>C2+50</f>
        <v>43241</v>
      </c>
    </row>
    <row r="8" spans="1:3" x14ac:dyDescent="0.35">
      <c r="A8" s="4"/>
      <c r="B8" s="4" t="s">
        <v>17</v>
      </c>
      <c r="C8" s="5">
        <f>DATE(A1,7,14)</f>
        <v>43295</v>
      </c>
    </row>
    <row r="9" spans="1:3" x14ac:dyDescent="0.35">
      <c r="A9" s="4"/>
      <c r="B9" s="4" t="s">
        <v>18</v>
      </c>
      <c r="C9" s="5">
        <f>DATE(A1,8,15)</f>
        <v>43327</v>
      </c>
    </row>
    <row r="10" spans="1:3" x14ac:dyDescent="0.35">
      <c r="A10" s="4"/>
      <c r="B10" s="4" t="s">
        <v>19</v>
      </c>
      <c r="C10" s="5">
        <f>DATE(A1,11,1)</f>
        <v>43405</v>
      </c>
    </row>
    <row r="11" spans="1:3" x14ac:dyDescent="0.35">
      <c r="A11" s="4"/>
      <c r="B11" s="4" t="s">
        <v>20</v>
      </c>
      <c r="C11" s="5">
        <f>DATE(A1,11,11)</f>
        <v>43415</v>
      </c>
    </row>
    <row r="12" spans="1:3" x14ac:dyDescent="0.35">
      <c r="A12" s="4"/>
      <c r="B12" s="4" t="s">
        <v>21</v>
      </c>
      <c r="C12" s="5">
        <f>DATE(A1,12,25)</f>
        <v>43459</v>
      </c>
    </row>
    <row r="13" spans="1:3" x14ac:dyDescent="0.35">
      <c r="A13" s="3">
        <f>A1+1</f>
        <v>2019</v>
      </c>
      <c r="B13" s="4" t="s">
        <v>10</v>
      </c>
      <c r="C13" s="5">
        <f>DATE(A13,1,1)</f>
        <v>43466</v>
      </c>
    </row>
    <row r="14" spans="1:3" x14ac:dyDescent="0.35">
      <c r="A14" s="4"/>
      <c r="B14" s="4" t="s">
        <v>11</v>
      </c>
      <c r="C14" s="5">
        <f>ROUND(DATE(A13,4,MOD(234-11*MOD(A13,19),30))/7,0)*7-6</f>
        <v>43576</v>
      </c>
    </row>
    <row r="15" spans="1:3" x14ac:dyDescent="0.35">
      <c r="A15" s="4"/>
      <c r="B15" s="4" t="s">
        <v>12</v>
      </c>
      <c r="C15" s="5">
        <f>C14+1</f>
        <v>43577</v>
      </c>
    </row>
    <row r="16" spans="1:3" x14ac:dyDescent="0.35">
      <c r="A16" s="4"/>
      <c r="B16" s="4" t="s">
        <v>13</v>
      </c>
      <c r="C16" s="5">
        <f>DATE(A13,5,1)</f>
        <v>43586</v>
      </c>
    </row>
    <row r="17" spans="1:3" x14ac:dyDescent="0.35">
      <c r="A17" s="4"/>
      <c r="B17" s="4" t="s">
        <v>14</v>
      </c>
      <c r="C17" s="5">
        <f>DATE(A13,5,8)</f>
        <v>43593</v>
      </c>
    </row>
    <row r="18" spans="1:3" x14ac:dyDescent="0.35">
      <c r="A18" s="4"/>
      <c r="B18" s="4" t="s">
        <v>15</v>
      </c>
      <c r="C18" s="5">
        <f>C14+39</f>
        <v>43615</v>
      </c>
    </row>
    <row r="19" spans="1:3" x14ac:dyDescent="0.35">
      <c r="A19" s="4"/>
      <c r="B19" s="4" t="s">
        <v>16</v>
      </c>
      <c r="C19" s="5">
        <f>C14+50</f>
        <v>43626</v>
      </c>
    </row>
    <row r="20" spans="1:3" x14ac:dyDescent="0.35">
      <c r="A20" s="4"/>
      <c r="B20" s="4" t="s">
        <v>17</v>
      </c>
      <c r="C20" s="5">
        <f>DATE(A13,7,14)</f>
        <v>43660</v>
      </c>
    </row>
    <row r="21" spans="1:3" x14ac:dyDescent="0.35">
      <c r="A21" s="4"/>
      <c r="B21" s="4" t="s">
        <v>18</v>
      </c>
      <c r="C21" s="5">
        <f>DATE(A13,8,15)</f>
        <v>43692</v>
      </c>
    </row>
    <row r="22" spans="1:3" x14ac:dyDescent="0.35">
      <c r="A22" s="4"/>
      <c r="B22" s="4" t="s">
        <v>19</v>
      </c>
      <c r="C22" s="5">
        <f>DATE(A13,11,1)</f>
        <v>43770</v>
      </c>
    </row>
    <row r="23" spans="1:3" x14ac:dyDescent="0.35">
      <c r="A23" s="4"/>
      <c r="B23" s="4" t="s">
        <v>20</v>
      </c>
      <c r="C23" s="5">
        <f>DATE(A13,11,11)</f>
        <v>43780</v>
      </c>
    </row>
    <row r="24" spans="1:3" x14ac:dyDescent="0.35">
      <c r="A24" s="4"/>
      <c r="B24" s="4" t="s">
        <v>21</v>
      </c>
      <c r="C24" s="5">
        <f>DATE(A13,12,25)</f>
        <v>43824</v>
      </c>
    </row>
    <row r="25" spans="1:3" x14ac:dyDescent="0.35">
      <c r="A25" s="3">
        <f>A13+1</f>
        <v>2020</v>
      </c>
      <c r="B25" s="4" t="s">
        <v>10</v>
      </c>
      <c r="C25" s="5">
        <f>DATE(A25,1,1)</f>
        <v>43831</v>
      </c>
    </row>
    <row r="26" spans="1:3" x14ac:dyDescent="0.35">
      <c r="A26" s="4"/>
      <c r="B26" s="4" t="s">
        <v>11</v>
      </c>
      <c r="C26" s="5">
        <f>ROUND(DATE(A25,4,MOD(234-11*MOD(A25,19),30))/7,0)*7-6</f>
        <v>43933</v>
      </c>
    </row>
    <row r="27" spans="1:3" x14ac:dyDescent="0.35">
      <c r="A27" s="4"/>
      <c r="B27" s="4" t="s">
        <v>12</v>
      </c>
      <c r="C27" s="5">
        <f>C26+1</f>
        <v>43934</v>
      </c>
    </row>
    <row r="28" spans="1:3" x14ac:dyDescent="0.35">
      <c r="A28" s="4"/>
      <c r="B28" s="4" t="s">
        <v>13</v>
      </c>
      <c r="C28" s="5">
        <f>DATE(A25,5,1)</f>
        <v>43952</v>
      </c>
    </row>
    <row r="29" spans="1:3" x14ac:dyDescent="0.35">
      <c r="A29" s="4"/>
      <c r="B29" s="4" t="s">
        <v>14</v>
      </c>
      <c r="C29" s="5">
        <f>DATE(A25,5,8)</f>
        <v>43959</v>
      </c>
    </row>
    <row r="30" spans="1:3" x14ac:dyDescent="0.35">
      <c r="A30" s="4"/>
      <c r="B30" s="4" t="s">
        <v>15</v>
      </c>
      <c r="C30" s="5">
        <f>C26+39</f>
        <v>43972</v>
      </c>
    </row>
    <row r="31" spans="1:3" x14ac:dyDescent="0.35">
      <c r="A31" s="4"/>
      <c r="B31" s="4" t="s">
        <v>16</v>
      </c>
      <c r="C31" s="5">
        <f>C26+50</f>
        <v>43983</v>
      </c>
    </row>
    <row r="32" spans="1:3" x14ac:dyDescent="0.35">
      <c r="A32" s="4"/>
      <c r="B32" s="4" t="s">
        <v>17</v>
      </c>
      <c r="C32" s="5">
        <f>DATE(A25,7,14)</f>
        <v>44026</v>
      </c>
    </row>
    <row r="33" spans="1:3" x14ac:dyDescent="0.35">
      <c r="A33" s="4"/>
      <c r="B33" s="4" t="s">
        <v>18</v>
      </c>
      <c r="C33" s="5">
        <f>DATE(A25,8,15)</f>
        <v>44058</v>
      </c>
    </row>
    <row r="34" spans="1:3" x14ac:dyDescent="0.35">
      <c r="A34" s="4"/>
      <c r="B34" s="4" t="s">
        <v>19</v>
      </c>
      <c r="C34" s="5">
        <f>DATE(A25,11,1)</f>
        <v>44136</v>
      </c>
    </row>
    <row r="35" spans="1:3" x14ac:dyDescent="0.35">
      <c r="A35" s="4"/>
      <c r="B35" s="4" t="s">
        <v>20</v>
      </c>
      <c r="C35" s="5">
        <f>DATE(A25,11,11)</f>
        <v>44146</v>
      </c>
    </row>
    <row r="36" spans="1:3" x14ac:dyDescent="0.35">
      <c r="A36" s="4"/>
      <c r="B36" s="4" t="s">
        <v>21</v>
      </c>
      <c r="C36" s="5">
        <f>DATE(A25,12,25)</f>
        <v>44190</v>
      </c>
    </row>
    <row r="37" spans="1:3" x14ac:dyDescent="0.35">
      <c r="A37" s="3">
        <f>A25+1</f>
        <v>2021</v>
      </c>
      <c r="B37" s="4" t="s">
        <v>10</v>
      </c>
      <c r="C37" s="5">
        <f>DATE(A37,1,1)</f>
        <v>44197</v>
      </c>
    </row>
    <row r="38" spans="1:3" x14ac:dyDescent="0.35">
      <c r="A38" s="4"/>
      <c r="B38" s="4" t="s">
        <v>11</v>
      </c>
      <c r="C38" s="5">
        <f>ROUND(DATE(A37,4,MOD(234-11*MOD(A37,19),30))/7,0)*7-6</f>
        <v>44290</v>
      </c>
    </row>
    <row r="39" spans="1:3" x14ac:dyDescent="0.35">
      <c r="A39" s="4"/>
      <c r="B39" s="4" t="s">
        <v>12</v>
      </c>
      <c r="C39" s="5">
        <f>C38+1</f>
        <v>44291</v>
      </c>
    </row>
    <row r="40" spans="1:3" x14ac:dyDescent="0.35">
      <c r="A40" s="4"/>
      <c r="B40" s="4" t="s">
        <v>13</v>
      </c>
      <c r="C40" s="5">
        <f>DATE(A37,5,1)</f>
        <v>44317</v>
      </c>
    </row>
    <row r="41" spans="1:3" x14ac:dyDescent="0.35">
      <c r="A41" s="4"/>
      <c r="B41" s="4" t="s">
        <v>14</v>
      </c>
      <c r="C41" s="5">
        <f>DATE(A37,5,8)</f>
        <v>44324</v>
      </c>
    </row>
    <row r="42" spans="1:3" x14ac:dyDescent="0.35">
      <c r="A42" s="4"/>
      <c r="B42" s="4" t="s">
        <v>15</v>
      </c>
      <c r="C42" s="5">
        <f>C38+39</f>
        <v>44329</v>
      </c>
    </row>
    <row r="43" spans="1:3" x14ac:dyDescent="0.35">
      <c r="A43" s="4"/>
      <c r="B43" s="4" t="s">
        <v>16</v>
      </c>
      <c r="C43" s="5">
        <f>C38+50</f>
        <v>44340</v>
      </c>
    </row>
    <row r="44" spans="1:3" x14ac:dyDescent="0.35">
      <c r="A44" s="4"/>
      <c r="B44" s="4" t="s">
        <v>17</v>
      </c>
      <c r="C44" s="5">
        <f>DATE(A37,7,14)</f>
        <v>44391</v>
      </c>
    </row>
    <row r="45" spans="1:3" x14ac:dyDescent="0.35">
      <c r="A45" s="4"/>
      <c r="B45" s="4" t="s">
        <v>18</v>
      </c>
      <c r="C45" s="5">
        <f>DATE(A37,8,15)</f>
        <v>44423</v>
      </c>
    </row>
    <row r="46" spans="1:3" x14ac:dyDescent="0.35">
      <c r="A46" s="4"/>
      <c r="B46" s="4" t="s">
        <v>19</v>
      </c>
      <c r="C46" s="5">
        <f>DATE(A37,11,1)</f>
        <v>44501</v>
      </c>
    </row>
    <row r="47" spans="1:3" x14ac:dyDescent="0.35">
      <c r="A47" s="4"/>
      <c r="B47" s="4" t="s">
        <v>20</v>
      </c>
      <c r="C47" s="5">
        <f>DATE(A37,11,11)</f>
        <v>44511</v>
      </c>
    </row>
    <row r="48" spans="1:3" x14ac:dyDescent="0.35">
      <c r="A48" s="4"/>
      <c r="B48" s="4" t="s">
        <v>21</v>
      </c>
      <c r="C48" s="5">
        <f>DATE(A37,12,25)</f>
        <v>44555</v>
      </c>
    </row>
    <row r="49" spans="1:3" x14ac:dyDescent="0.35">
      <c r="A49" s="3">
        <f>A37+1</f>
        <v>2022</v>
      </c>
      <c r="B49" s="4" t="s">
        <v>10</v>
      </c>
      <c r="C49" s="5">
        <f>DATE(A49,1,1)</f>
        <v>44562</v>
      </c>
    </row>
    <row r="50" spans="1:3" x14ac:dyDescent="0.35">
      <c r="A50" s="4"/>
      <c r="B50" s="4" t="s">
        <v>11</v>
      </c>
      <c r="C50" s="5">
        <f>ROUND(DATE(A49,4,MOD(234-11*MOD(A49,19),30))/7,0)*7-6</f>
        <v>44668</v>
      </c>
    </row>
    <row r="51" spans="1:3" x14ac:dyDescent="0.35">
      <c r="A51" s="4"/>
      <c r="B51" s="4" t="s">
        <v>12</v>
      </c>
      <c r="C51" s="5">
        <f>C50+1</f>
        <v>44669</v>
      </c>
    </row>
    <row r="52" spans="1:3" x14ac:dyDescent="0.35">
      <c r="A52" s="4"/>
      <c r="B52" s="4" t="s">
        <v>13</v>
      </c>
      <c r="C52" s="5">
        <f>DATE(A49,5,1)</f>
        <v>44682</v>
      </c>
    </row>
    <row r="53" spans="1:3" x14ac:dyDescent="0.35">
      <c r="A53" s="4"/>
      <c r="B53" s="4" t="s">
        <v>14</v>
      </c>
      <c r="C53" s="5">
        <f>DATE(A49,5,8)</f>
        <v>44689</v>
      </c>
    </row>
    <row r="54" spans="1:3" x14ac:dyDescent="0.35">
      <c r="A54" s="4"/>
      <c r="B54" s="4" t="s">
        <v>15</v>
      </c>
      <c r="C54" s="5">
        <f>C50+39</f>
        <v>44707</v>
      </c>
    </row>
    <row r="55" spans="1:3" x14ac:dyDescent="0.35">
      <c r="A55" s="4"/>
      <c r="B55" s="4" t="s">
        <v>16</v>
      </c>
      <c r="C55" s="5">
        <f>C50+50</f>
        <v>44718</v>
      </c>
    </row>
    <row r="56" spans="1:3" x14ac:dyDescent="0.35">
      <c r="A56" s="4"/>
      <c r="B56" s="4" t="s">
        <v>17</v>
      </c>
      <c r="C56" s="5">
        <f>DATE(A49,7,14)</f>
        <v>44756</v>
      </c>
    </row>
    <row r="57" spans="1:3" x14ac:dyDescent="0.35">
      <c r="A57" s="4"/>
      <c r="B57" s="4" t="s">
        <v>18</v>
      </c>
      <c r="C57" s="5">
        <f>DATE(A49,8,15)</f>
        <v>44788</v>
      </c>
    </row>
    <row r="58" spans="1:3" x14ac:dyDescent="0.35">
      <c r="A58" s="4"/>
      <c r="B58" s="4" t="s">
        <v>19</v>
      </c>
      <c r="C58" s="5">
        <f>DATE(A49,11,1)</f>
        <v>44866</v>
      </c>
    </row>
    <row r="59" spans="1:3" x14ac:dyDescent="0.35">
      <c r="A59" s="4"/>
      <c r="B59" s="4" t="s">
        <v>20</v>
      </c>
      <c r="C59" s="5">
        <f>DATE(A49,11,11)</f>
        <v>44876</v>
      </c>
    </row>
    <row r="60" spans="1:3" x14ac:dyDescent="0.35">
      <c r="A60" s="4"/>
      <c r="B60" s="4" t="s">
        <v>21</v>
      </c>
      <c r="C60" s="5">
        <f>DATE(A49,12,25)</f>
        <v>44920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/>
  </sheetViews>
  <sheetFormatPr baseColWidth="10" defaultRowHeight="14.5" x14ac:dyDescent="0.35"/>
  <sheetData>
    <row r="1" spans="1:2" x14ac:dyDescent="0.35">
      <c r="A1" s="9" t="s">
        <v>31</v>
      </c>
      <c r="B1" s="8">
        <v>0.29166666666666669</v>
      </c>
    </row>
    <row r="2" spans="1:2" x14ac:dyDescent="0.35">
      <c r="A2" s="9" t="s">
        <v>30</v>
      </c>
      <c r="B2" s="8">
        <v>0.91666666666666663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heures</vt:lpstr>
      <vt:lpstr>jours fériés</vt:lpstr>
      <vt:lpstr>heures nuit</vt:lpstr>
      <vt:lpstr>DebNuit</vt:lpstr>
      <vt:lpstr>FinNuit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Agents AU. Urbains</dc:creator>
  <cp:lastModifiedBy>Michel</cp:lastModifiedBy>
  <dcterms:created xsi:type="dcterms:W3CDTF">2019-01-12T13:03:52Z</dcterms:created>
  <dcterms:modified xsi:type="dcterms:W3CDTF">2019-01-13T02:47:00Z</dcterms:modified>
</cp:coreProperties>
</file>