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030" tabRatio="715" activeTab="2"/>
  </bookViews>
  <sheets>
    <sheet name="Données" sheetId="3" r:id="rId1"/>
    <sheet name="Test sur jour nuit" sheetId="7" state="hidden" r:id="rId2"/>
    <sheet name="Calcul indemnités mensuelles" sheetId="8" r:id="rId3"/>
    <sheet name="Jours Fériés" sheetId="5" r:id="rId4"/>
    <sheet name="Paramètres" sheetId="2" r:id="rId5"/>
  </sheets>
  <definedNames>
    <definedName name="DebNuit">Paramètres!$B$2</definedName>
    <definedName name="FinNuit">Paramètres!$B$1</definedName>
    <definedName name="JF">'Jours Fériés'!$B$2:$Q$13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8" l="1"/>
  <c r="B4" i="8"/>
  <c r="B5" i="8"/>
  <c r="B6" i="8"/>
  <c r="B7" i="8"/>
  <c r="B8" i="8"/>
  <c r="B9" i="8"/>
  <c r="B10" i="8"/>
  <c r="B11" i="8"/>
  <c r="B12" i="8"/>
  <c r="B13" i="8"/>
  <c r="B2" i="8"/>
  <c r="I6" i="3" l="1"/>
  <c r="I8" i="3"/>
  <c r="I7" i="3"/>
  <c r="I9" i="3"/>
  <c r="I11" i="3"/>
  <c r="I10" i="3"/>
  <c r="I2" i="3"/>
  <c r="I3" i="3"/>
  <c r="I4" i="3"/>
  <c r="I5" i="3"/>
  <c r="I12" i="3"/>
  <c r="I13" i="3"/>
  <c r="I14" i="3"/>
  <c r="G2" i="7" l="1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M6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R9" i="3" l="1"/>
  <c r="R12" i="3"/>
  <c r="R2" i="3"/>
  <c r="R6" i="3"/>
  <c r="C3" i="7"/>
  <c r="C2" i="7"/>
  <c r="H6" i="3"/>
  <c r="H8" i="3"/>
  <c r="H7" i="3"/>
  <c r="H9" i="3"/>
  <c r="H11" i="3"/>
  <c r="H10" i="3"/>
  <c r="H2" i="3"/>
  <c r="H3" i="3"/>
  <c r="H4" i="3"/>
  <c r="H5" i="3"/>
  <c r="H12" i="3"/>
  <c r="H13" i="3"/>
  <c r="H14" i="3"/>
  <c r="J8" i="3"/>
  <c r="J6" i="3"/>
  <c r="J9" i="3"/>
  <c r="J2" i="3"/>
  <c r="J12" i="3"/>
  <c r="J13" i="3" l="1"/>
  <c r="Q2" i="3"/>
  <c r="P2" i="3" s="1"/>
  <c r="J7" i="3"/>
  <c r="J3" i="3"/>
  <c r="T3" i="3" s="1"/>
  <c r="J5" i="3"/>
  <c r="Q9" i="3"/>
  <c r="P9" i="3" s="1"/>
  <c r="J14" i="3"/>
  <c r="J4" i="3"/>
  <c r="J11" i="3"/>
  <c r="Q6" i="3"/>
  <c r="P6" i="3" s="1"/>
  <c r="Q12" i="3"/>
  <c r="P12" i="3" s="1"/>
  <c r="N6" i="3"/>
  <c r="L6" i="3" s="1"/>
  <c r="J10" i="3"/>
  <c r="U12" i="3"/>
  <c r="M12" i="3"/>
  <c r="T13" i="3"/>
  <c r="M2" i="3"/>
  <c r="W2" i="3"/>
  <c r="N14" i="3" l="1"/>
  <c r="M13" i="3"/>
  <c r="N4" i="3"/>
  <c r="N5" i="3"/>
  <c r="N2" i="3"/>
  <c r="L2" i="3" s="1"/>
  <c r="N13" i="3"/>
  <c r="N3" i="3"/>
  <c r="N12" i="3"/>
  <c r="L12" i="3" s="1"/>
  <c r="M5" i="3"/>
  <c r="V12" i="3"/>
  <c r="S12" i="3"/>
  <c r="T14" i="3"/>
  <c r="W12" i="3"/>
  <c r="M3" i="3"/>
  <c r="T5" i="3"/>
  <c r="S2" i="3"/>
  <c r="U2" i="3"/>
  <c r="V2" i="3"/>
  <c r="T4" i="3"/>
  <c r="M4" i="3" l="1"/>
  <c r="L4" i="3" s="1"/>
  <c r="R14" i="3"/>
  <c r="Q14" i="3"/>
  <c r="M14" i="3"/>
  <c r="W14" i="3" s="1"/>
  <c r="R5" i="3"/>
  <c r="Q5" i="3"/>
  <c r="R8" i="3"/>
  <c r="Q8" i="3"/>
  <c r="P8" i="3" s="1"/>
  <c r="R10" i="3"/>
  <c r="Q10" i="3"/>
  <c r="R3" i="3"/>
  <c r="Q3" i="3"/>
  <c r="W3" i="3" s="1"/>
  <c r="R4" i="3"/>
  <c r="Q4" i="3"/>
  <c r="R13" i="3"/>
  <c r="Q13" i="3"/>
  <c r="R7" i="3"/>
  <c r="Q7" i="3"/>
  <c r="R11" i="3"/>
  <c r="Q11" i="3"/>
  <c r="L5" i="3"/>
  <c r="L13" i="3"/>
  <c r="L3" i="3"/>
  <c r="P14" i="3" l="1"/>
  <c r="P7" i="3"/>
  <c r="P5" i="3"/>
  <c r="L14" i="3"/>
  <c r="P10" i="3"/>
  <c r="W4" i="3"/>
  <c r="P13" i="3"/>
  <c r="P3" i="3"/>
  <c r="W13" i="3"/>
  <c r="W5" i="3"/>
  <c r="P4" i="3"/>
  <c r="P11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G3" i="5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F4" i="5"/>
  <c r="G4" i="5"/>
  <c r="N4" i="5"/>
  <c r="O4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F7" i="5"/>
  <c r="G7" i="5"/>
  <c r="J7" i="5"/>
  <c r="K7" i="5"/>
  <c r="F8" i="5"/>
  <c r="G8" i="5"/>
  <c r="H8" i="5"/>
  <c r="J8" i="5"/>
  <c r="N8" i="5"/>
  <c r="O8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K4" i="5" l="1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B8" i="5" l="1"/>
  <c r="B4" i="5"/>
  <c r="O4" i="3" s="1"/>
  <c r="B7" i="5"/>
  <c r="K14" i="3" l="1"/>
  <c r="O5" i="3"/>
  <c r="O12" i="3"/>
  <c r="K3" i="3"/>
  <c r="K4" i="3"/>
  <c r="U4" i="3" s="1"/>
  <c r="K13" i="3"/>
  <c r="O2" i="3"/>
  <c r="O14" i="3"/>
  <c r="K2" i="3"/>
  <c r="K5" i="3"/>
  <c r="O3" i="3"/>
  <c r="O13" i="3"/>
  <c r="K12" i="3"/>
  <c r="K6" i="3"/>
  <c r="K8" i="3"/>
  <c r="K7" i="3"/>
  <c r="K9" i="3"/>
  <c r="K11" i="3"/>
  <c r="K10" i="3"/>
  <c r="V4" i="3" l="1"/>
  <c r="O9" i="3"/>
  <c r="N9" i="3"/>
  <c r="O10" i="3"/>
  <c r="N10" i="3"/>
  <c r="O8" i="3"/>
  <c r="N8" i="3"/>
  <c r="V3" i="3"/>
  <c r="U3" i="3"/>
  <c r="O7" i="3"/>
  <c r="N7" i="3"/>
  <c r="O11" i="3"/>
  <c r="N11" i="3"/>
  <c r="O6" i="3"/>
  <c r="U13" i="3"/>
  <c r="V13" i="3"/>
  <c r="U14" i="3"/>
  <c r="V14" i="3"/>
  <c r="V5" i="3"/>
  <c r="U5" i="3"/>
  <c r="M9" i="3"/>
  <c r="T8" i="3"/>
  <c r="T7" i="3"/>
  <c r="T11" i="3"/>
  <c r="T10" i="3"/>
  <c r="M8" i="3"/>
  <c r="M10" i="3"/>
  <c r="L8" i="3" l="1"/>
  <c r="L10" i="3"/>
  <c r="L9" i="3"/>
  <c r="S13" i="3"/>
  <c r="S14" i="3"/>
  <c r="S3" i="3"/>
  <c r="S5" i="3"/>
  <c r="S4" i="3"/>
  <c r="W9" i="3"/>
  <c r="S9" i="3"/>
  <c r="S6" i="3"/>
  <c r="S11" i="3"/>
  <c r="S8" i="3"/>
  <c r="S10" i="3"/>
  <c r="S7" i="3"/>
  <c r="U6" i="3"/>
  <c r="W6" i="3"/>
  <c r="V9" i="3"/>
  <c r="U9" i="3"/>
  <c r="M7" i="3"/>
  <c r="L7" i="3" s="1"/>
  <c r="M11" i="3"/>
  <c r="L11" i="3" s="1"/>
  <c r="V6" i="3"/>
  <c r="W7" i="3" l="1"/>
  <c r="W8" i="3"/>
  <c r="W11" i="3"/>
  <c r="W10" i="3"/>
  <c r="U10" i="3"/>
  <c r="U11" i="3"/>
  <c r="U7" i="3"/>
  <c r="F11" i="8" l="1"/>
  <c r="F3" i="8"/>
  <c r="F6" i="8"/>
  <c r="F12" i="8"/>
  <c r="F4" i="8"/>
  <c r="F8" i="8"/>
  <c r="F10" i="8"/>
  <c r="F5" i="8"/>
  <c r="F2" i="8"/>
  <c r="F7" i="8"/>
  <c r="F9" i="8"/>
  <c r="F13" i="8"/>
  <c r="U8" i="3"/>
  <c r="D6" i="8" s="1"/>
  <c r="V8" i="3"/>
  <c r="V7" i="3"/>
  <c r="V10" i="3"/>
  <c r="V11" i="3"/>
  <c r="D4" i="8" l="1"/>
  <c r="D9" i="8"/>
  <c r="D10" i="8"/>
  <c r="D13" i="8"/>
  <c r="D12" i="8"/>
  <c r="F14" i="8"/>
  <c r="D11" i="8"/>
  <c r="E5" i="8"/>
  <c r="E13" i="8"/>
  <c r="E11" i="8"/>
  <c r="E6" i="8"/>
  <c r="E4" i="8"/>
  <c r="E12" i="8"/>
  <c r="E2" i="8"/>
  <c r="E10" i="8"/>
  <c r="E3" i="8"/>
  <c r="E7" i="8"/>
  <c r="E8" i="8"/>
  <c r="E9" i="8"/>
  <c r="D8" i="8"/>
  <c r="D7" i="8"/>
  <c r="D2" i="8"/>
  <c r="D5" i="8"/>
  <c r="D3" i="8"/>
  <c r="T12" i="3"/>
  <c r="T2" i="3"/>
  <c r="T6" i="3"/>
  <c r="T9" i="3"/>
  <c r="D14" i="8" l="1"/>
  <c r="E14" i="8"/>
  <c r="C3" i="8"/>
  <c r="G3" i="8" s="1"/>
  <c r="C4" i="8"/>
  <c r="G4" i="8" s="1"/>
  <c r="C5" i="8"/>
  <c r="G5" i="8" s="1"/>
  <c r="C6" i="8"/>
  <c r="G6" i="8" s="1"/>
  <c r="C7" i="8"/>
  <c r="G7" i="8" s="1"/>
  <c r="C8" i="8"/>
  <c r="G8" i="8" s="1"/>
  <c r="C9" i="8"/>
  <c r="G9" i="8" s="1"/>
  <c r="C10" i="8"/>
  <c r="G10" i="8" s="1"/>
  <c r="C11" i="8"/>
  <c r="G11" i="8" s="1"/>
  <c r="C12" i="8"/>
  <c r="G12" i="8" s="1"/>
  <c r="C13" i="8"/>
  <c r="G13" i="8" s="1"/>
  <c r="C2" i="8"/>
  <c r="G2" i="8" l="1"/>
  <c r="G14" i="8" s="1"/>
  <c r="C14" i="8"/>
</calcChain>
</file>

<file path=xl/comments1.xml><?xml version="1.0" encoding="utf-8"?>
<comments xmlns="http://schemas.openxmlformats.org/spreadsheetml/2006/main">
  <authors>
    <author>Auteur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<sst xmlns="http://schemas.openxmlformats.org/spreadsheetml/2006/main" count="72" uniqueCount="51">
  <si>
    <t>Date</t>
  </si>
  <si>
    <t>Motif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</si>
  <si>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</si>
  <si>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</si>
  <si>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</si>
  <si>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</si>
  <si>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</si>
  <si>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</si>
  <si>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</si>
  <si>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</si>
  <si>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</si>
  <si>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</si>
  <si>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</si>
  <si>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</si>
  <si>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</si>
  <si>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</si>
  <si>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</si>
  <si>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</si>
  <si>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</si>
  <si>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</si>
  <si>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</si>
  <si>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</si>
  <si>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</si>
  <si>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</si>
  <si>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</si>
  <si>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</si>
  <si>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</si>
  <si>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</si>
  <si>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</si>
  <si>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</si>
  <si>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</si>
  <si>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</si>
  <si>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</si>
  <si>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</si>
  <si>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</si>
  <si>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</si>
  <si>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</si>
  <si>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</si>
  <si>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</si>
  <si>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</si>
  <si>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</si>
  <si>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</si>
  <si>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</si>
  <si>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</si>
  <si>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Hdébut garde</t>
  </si>
  <si>
    <t>Hfin garde</t>
  </si>
  <si>
    <t>Garde / Interv.</t>
  </si>
  <si>
    <t>Total</t>
  </si>
  <si>
    <t>Année</t>
  </si>
  <si>
    <t>Mois</t>
  </si>
  <si>
    <t>Indemnités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</si>
</sst>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d\ * hh:mm"/>
    <numFmt numFmtId="171" formatCode="mmm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i/>
      <sz val="11"/>
      <color theme="0" tint="-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66">
    <xf numFmtId="0" fontId="0" fillId="0" borderId="0" xfId="0"/>
    <xf numFmtId="164" fontId="5" fillId="0" borderId="0" xfId="4" applyNumberFormat="1"/>
    <xf numFmtId="166" fontId="9" fillId="0" borderId="0" xfId="0" applyNumberFormat="1" applyFont="1"/>
    <xf numFmtId="44" fontId="9" fillId="0" borderId="0" xfId="1" applyFont="1"/>
    <xf numFmtId="166" fontId="13" fillId="0" borderId="0" xfId="0" applyNumberFormat="1" applyFont="1" applyAlignment="1">
      <alignment vertical="center" wrapText="1"/>
    </xf>
    <xf numFmtId="166" fontId="12" fillId="0" borderId="0" xfId="0" applyNumberFormat="1" applyFont="1" applyAlignment="1"/>
    <xf numFmtId="0" fontId="14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 applyFill="1"/>
    <xf numFmtId="0" fontId="15" fillId="0" borderId="0" xfId="0" applyFont="1" applyFill="1" applyBorder="1" applyAlignment="1">
      <alignment horizontal="center"/>
    </xf>
    <xf numFmtId="0" fontId="0" fillId="0" borderId="0" xfId="0" applyFill="1"/>
    <xf numFmtId="166" fontId="16" fillId="0" borderId="0" xfId="0" applyNumberFormat="1" applyFont="1"/>
    <xf numFmtId="166" fontId="16" fillId="0" borderId="0" xfId="0" applyNumberFormat="1" applyFont="1" applyFill="1"/>
    <xf numFmtId="169" fontId="13" fillId="0" borderId="0" xfId="0" applyNumberFormat="1" applyFont="1" applyAlignment="1">
      <alignment vertical="center" wrapText="1"/>
    </xf>
    <xf numFmtId="167" fontId="17" fillId="0" borderId="0" xfId="0" applyNumberFormat="1" applyFont="1" applyAlignment="1">
      <alignment vertical="center" wrapText="1"/>
    </xf>
    <xf numFmtId="0" fontId="17" fillId="0" borderId="0" xfId="0" applyFont="1" applyAlignment="1">
      <alignment vertical="center" wrapText="1"/>
    </xf>
    <xf numFmtId="166" fontId="17" fillId="0" borderId="0" xfId="0" applyNumberFormat="1" applyFont="1" applyAlignment="1">
      <alignment vertical="center" wrapText="1"/>
    </xf>
    <xf numFmtId="0" fontId="13" fillId="0" borderId="0" xfId="0" applyFont="1" applyAlignment="1">
      <alignment vertical="center" wrapText="1"/>
    </xf>
    <xf numFmtId="166" fontId="13" fillId="0" borderId="0" xfId="0" applyNumberFormat="1" applyFont="1" applyBorder="1" applyAlignment="1">
      <alignment vertical="center" wrapText="1"/>
    </xf>
    <xf numFmtId="0" fontId="14" fillId="0" borderId="0" xfId="0" applyFont="1" applyAlignment="1">
      <alignment vertical="center" wrapText="1"/>
    </xf>
    <xf numFmtId="0" fontId="14" fillId="0" borderId="0" xfId="0" applyFont="1"/>
    <xf numFmtId="169" fontId="14" fillId="0" borderId="0" xfId="0" applyNumberFormat="1" applyFont="1"/>
    <xf numFmtId="166" fontId="14" fillId="0" borderId="0" xfId="0" applyNumberFormat="1" applyFont="1" applyBorder="1" applyAlignment="1"/>
    <xf numFmtId="166" fontId="14" fillId="0" borderId="0" xfId="0" applyNumberFormat="1" applyFont="1" applyAlignment="1"/>
    <xf numFmtId="166" fontId="14" fillId="0" borderId="0" xfId="0" applyNumberFormat="1" applyFont="1"/>
    <xf numFmtId="44" fontId="14" fillId="0" borderId="0" xfId="1" applyFont="1"/>
    <xf numFmtId="169" fontId="17" fillId="0" borderId="0" xfId="0" applyNumberFormat="1" applyFont="1" applyAlignment="1">
      <alignment vertical="center" wrapText="1"/>
    </xf>
    <xf numFmtId="166" fontId="17" fillId="0" borderId="0" xfId="0" applyNumberFormat="1" applyFont="1" applyBorder="1" applyAlignment="1">
      <alignment vertical="center" wrapText="1"/>
    </xf>
    <xf numFmtId="167" fontId="16" fillId="0" borderId="0" xfId="0" applyNumberFormat="1" applyFont="1"/>
    <xf numFmtId="0" fontId="16" fillId="0" borderId="0" xfId="0" applyFont="1" applyAlignment="1">
      <alignment horizontal="center" vertical="center"/>
    </xf>
    <xf numFmtId="0" fontId="16" fillId="0" borderId="0" xfId="0" applyFont="1"/>
    <xf numFmtId="169" fontId="18" fillId="0" borderId="0" xfId="0" applyNumberFormat="1" applyFont="1"/>
    <xf numFmtId="0" fontId="18" fillId="0" borderId="0" xfId="0" applyFont="1" applyAlignment="1"/>
    <xf numFmtId="166" fontId="18" fillId="0" borderId="0" xfId="0" applyNumberFormat="1" applyFont="1" applyBorder="1" applyAlignment="1"/>
    <xf numFmtId="166" fontId="18" fillId="0" borderId="0" xfId="0" applyNumberFormat="1" applyFont="1" applyAlignment="1"/>
    <xf numFmtId="167" fontId="16" fillId="0" borderId="0" xfId="0" applyNumberFormat="1" applyFont="1" applyFill="1"/>
    <xf numFmtId="0" fontId="16" fillId="0" borderId="0" xfId="0" applyFont="1" applyFill="1" applyAlignment="1">
      <alignment horizontal="center" vertical="center"/>
    </xf>
    <xf numFmtId="169" fontId="18" fillId="0" borderId="0" xfId="0" applyNumberFormat="1" applyFont="1" applyFill="1"/>
    <xf numFmtId="0" fontId="18" fillId="0" borderId="0" xfId="0" applyFont="1" applyFill="1" applyAlignment="1"/>
    <xf numFmtId="166" fontId="18" fillId="0" borderId="0" xfId="0" applyNumberFormat="1" applyFont="1" applyFill="1" applyBorder="1" applyAlignment="1"/>
    <xf numFmtId="166" fontId="18" fillId="0" borderId="0" xfId="0" applyNumberFormat="1" applyFont="1" applyFill="1" applyAlignment="1"/>
    <xf numFmtId="167" fontId="16" fillId="0" borderId="0" xfId="0" applyNumberFormat="1" applyFont="1" applyAlignment="1">
      <alignment horizontal="center" vertical="center"/>
    </xf>
    <xf numFmtId="0" fontId="18" fillId="0" borderId="0" xfId="0" applyNumberFormat="1" applyFont="1" applyAlignment="1"/>
    <xf numFmtId="166" fontId="18" fillId="0" borderId="0" xfId="1" applyNumberFormat="1" applyFont="1" applyAlignment="1"/>
    <xf numFmtId="166" fontId="18" fillId="0" borderId="0" xfId="0" quotePrefix="1" applyNumberFormat="1" applyFont="1" applyAlignment="1"/>
    <xf numFmtId="169" fontId="16" fillId="0" borderId="0" xfId="0" applyNumberFormat="1" applyFont="1"/>
    <xf numFmtId="168" fontId="18" fillId="0" borderId="0" xfId="0" applyNumberFormat="1" applyFont="1"/>
    <xf numFmtId="0" fontId="16" fillId="0" borderId="0" xfId="0" applyFont="1" applyAlignment="1"/>
    <xf numFmtId="44" fontId="0" fillId="0" borderId="1" xfId="1" applyFont="1" applyBorder="1"/>
    <xf numFmtId="171" fontId="0" fillId="0" borderId="1" xfId="0" applyNumberFormat="1" applyBorder="1"/>
    <xf numFmtId="0" fontId="0" fillId="0" borderId="1" xfId="0" applyBorder="1" applyAlignment="1"/>
    <xf numFmtId="166" fontId="0" fillId="0" borderId="1" xfId="0" applyNumberFormat="1" applyBorder="1"/>
    <xf numFmtId="166" fontId="19" fillId="2" borderId="5" xfId="0" applyNumberFormat="1" applyFont="1" applyFill="1" applyBorder="1" applyAlignment="1">
      <alignment horizontal="center" vertical="center" wrapText="1"/>
    </xf>
    <xf numFmtId="166" fontId="19" fillId="2" borderId="6" xfId="0" applyNumberFormat="1" applyFont="1" applyFill="1" applyBorder="1" applyAlignment="1">
      <alignment horizontal="center" vertical="center" wrapText="1"/>
    </xf>
    <xf numFmtId="166" fontId="19" fillId="2" borderId="7" xfId="0" applyNumberFormat="1" applyFont="1" applyFill="1" applyBorder="1" applyAlignment="1">
      <alignment horizontal="center" vertical="center" wrapText="1"/>
    </xf>
    <xf numFmtId="0" fontId="3" fillId="0" borderId="1" xfId="0" applyFont="1" applyBorder="1"/>
    <xf numFmtId="166" fontId="3" fillId="0" borderId="1" xfId="0" applyNumberFormat="1" applyFont="1" applyBorder="1"/>
    <xf numFmtId="44" fontId="3" fillId="0" borderId="1" xfId="0" applyNumberFormat="1" applyFont="1" applyBorder="1"/>
  </cellXfs>
  <cellStyles count="13">
    <cellStyle name="Excel Built-in Normal" xfId="6"/>
    <cellStyle name="Monétaire" xfId="1" builtinId="4"/>
    <cellStyle name="Normal" xfId="0" builtinId="0"/>
    <cellStyle name="Normal 2" xfId="7"/>
    <cellStyle name="Normal 2 2" xfId="8"/>
    <cellStyle name="Normal 2 3" xfId="4"/>
    <cellStyle name="Normal 3" xfId="9"/>
    <cellStyle name="Normal 4" xfId="10"/>
    <cellStyle name="Normal 5" xfId="11"/>
    <cellStyle name="Normal 6" xfId="5"/>
    <cellStyle name="Normal 7" xfId="12"/>
    <cellStyle name="Normal 8" xfId="2"/>
    <cellStyle name="Texte explicatif 2" xfId="3"/>
  </cellStyles>
  <dxfs count="35"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general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7" formatCode="ddd\ dd\-mmm\-yyyy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7" formatCode="ddd\ dd\-mmm\-yyyy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data" displayName="data" ref="A1:W14" totalsRowShown="0" headerRowDxfId="34" dataDxfId="33">
  <autoFilter ref="A1:W14"/>
  <sortState ref="A2:W14">
    <sortCondition ref="A2:A14"/>
    <sortCondition ref="J2:J14"/>
    <sortCondition ref="F2:F14"/>
  </sortState>
  <tableColumns count="23">
    <tableColumn id="1" name="Date" dataDxfId="32"/>
    <tableColumn id="5" name="Véhicule" dataDxfId="31"/>
    <tableColumn id="6" name="Motif" dataDxfId="30"/>
    <tableColumn id="25" name="Hdébut garde" dataDxfId="29"/>
    <tableColumn id="26" name="Hfin garde" dataDxfId="28"/>
    <tableColumn id="3" name="Hdébut interv." dataDxfId="27"/>
    <tableColumn id="4" name="Hfin Interv." dataDxfId="26"/>
    <tableColumn id="23" name="Hdébut corrigé" dataDxfId="25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name="Hfin corrigée" dataDxfId="24">
      <calculatedColumnFormula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calculatedColumnFormula>
    </tableColumn>
    <tableColumn id="7" name="Garde / Interv." dataDxfId="23">
      <calculatedColumnFormula>IF(data[[#This Row],[Hdébut garde]]&lt;&gt;"","Garde",IF(data[[#This Row],[Hdébut corrigé]]&lt;&gt;"","Intervention",""))</calculatedColumnFormula>
    </tableColumn>
    <tableColumn id="8" name="Début Dim ou Férié" dataDxfId="22">
      <calculatedColumnFormula>IF(OR(WEEKDAY(data[[#This Row],[Date]],2)=7,COUNTIF(JF,data[[#This Row],[Date]])=1),"oui","non")</calculatedColumnFormula>
    </tableColumn>
    <tableColumn id="10" name="JOUR1" dataDxfId="21">
      <calculatedColumnFormula>MAX(0,(MIN(1,data[[#This Row],[Hfin corrigée]])-data[[#This Row],[Hdébut corrigé]])-data[[#This Row],[NUIT1.1]]-data[[#This Row],[NUIT1.2]])</calculatedColumnFormula>
    </tableColumn>
    <tableColumn id="11" name="NUIT1.1" dataDxfId="20">
      <calculatedColumnFormula>IF(data[[#This Row],[Hfin Interv.]]="",0,(
MIN(FinNuit,MIN(1,data[[#This Row],[Hfin corrigée]]))-MIN(FinNuit,data[[#This Row],[Hdébut corrigé]])
))</calculatedColumnFormula>
    </tableColumn>
    <tableColumn id="18" name="NUIT1.2" dataDxfId="19">
      <calculatedColumnFormula>MAX(0,(MAX(0,(MIN(1,data[[#This Row],[Hfin corrigée]])-DebNuit))-MAX(0,(data[[#This Row],[Hdébut corrigé]]-DebNuit))))</calculatedColumnFormula>
    </tableColumn>
    <tableColumn id="9" name="Fin Dim ou Férié" dataDxfId="18">
      <calculatedColumnFormula>IF(OR(WEEKDAY(data[[#This Row],[Date]]+data[[#This Row],[Hfin corrigée]],2)=7,COUNTIF(JF,INT(data[[#This Row],[Date]]+data[[#This Row],[Hfin corrigée]]))=1),"oui","non")</calculatedColumnFormula>
    </tableColumn>
    <tableColumn id="19" name="JOUR2" dataDxfId="17">
      <calculatedColumnFormula>MAX(0,data[[#This Row],[Hfin corrigée]]-MAX(1,data[[#This Row],[Hdébut corrigé]]))-data[[#This Row],[NUIT2.1]]-data[[#This Row],[NUIT2.2]]</calculatedColumnFormula>
    </tableColumn>
    <tableColumn id="20" name="NUIT2.1" dataDxfId="16">
      <calculatedColumnFormula>MAX(0,MIN(1+FinNuit,data[[#This Row],[Hfin corrigée]])-MAX(1,data[[#This Row],[Hdébut corrigé]]))</calculatedColumnFormula>
    </tableColumn>
    <tableColumn id="21" name="NUIT2.2" dataDxfId="15">
      <calculatedColumnFormula>MAX(0,(data[[#This Row],[Hfin corrigée]]-DebNuit-1))</calculatedColumnFormula>
    </tableColumn>
    <tableColumn id="22" name="Interv. hors poste" dataDxfId="14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name="Durée sans interv." dataDxfId="13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13" name="Durée interv. jour" dataDxfId="12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name="Durée interv. dim ou férié" dataDxfId="11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name="Durée interv. nuit" dataDxfId="10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est" displayName="test" ref="A1:H9" totalsRowShown="0" headerRowDxfId="9" dataDxfId="8">
  <autoFilter ref="A1:H9"/>
  <tableColumns count="8">
    <tableColumn id="23" name="Hdébut corrigé" dataDxfId="7"/>
    <tableColumn id="12" name="Hfin corrigée" dataDxfId="6"/>
    <tableColumn id="10" name="JOUR1" dataDxfId="5">
      <calculatedColumnFormula>MAX(0,(MIN(1,test[[#This Row],[Hfin corrigée]])-test[[#This Row],[Hdébut corrigé]])-test[[#This Row],[NUIT1.1]]-test[[#This Row],[NUIT1.2]])</calculatedColumnFormula>
    </tableColumn>
    <tableColumn id="11" name="NUIT1.1" dataDxfId="4">
      <calculatedColumnFormula>MIN(FinNuit,MIN(1,test[[#This Row],[Hfin corrigée]]))-MIN(FinNuit,test[[#This Row],[Hdébut corrigé]])</calculatedColumnFormula>
    </tableColumn>
    <tableColumn id="18" name="NUIT1.2" dataDxfId="3">
      <calculatedColumnFormula>MAX(0,(MAX(0,(MIN(1,test[[#This Row],[Hfin corrigée]])-DebNuit))-MAX(0,(test[[#This Row],[Hdébut corrigé]]-DebNuit))))</calculatedColumnFormula>
    </tableColumn>
    <tableColumn id="19" name="JOUR2" dataDxfId="2">
      <calculatedColumnFormula>MAX(0,test[[#This Row],[Hfin corrigée]]-MAX(1,test[[#This Row],[Hdébut corrigé]]))-test[[#This Row],[NUIT2.1]]-test[[#This Row],[NUIT2.2]]</calculatedColumnFormula>
    </tableColumn>
    <tableColumn id="20" name="NUIT2.1" dataDxfId="1">
      <calculatedColumnFormula>MAX(0,MIN(1+FinNuit,test[[#This Row],[Hfin corrigée]])-MAX(1,test[[#This Row],[Hdébut corrigé]]))</calculatedColumnFormula>
    </tableColumn>
    <tableColumn id="21" name="NUIT2.2" dataDxfId="0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C14"/>
  <sheetViews>
    <sheetView showZeros="0" zoomScaleNormal="100" workbookViewId="0">
      <selection activeCell="A12" sqref="A12"/>
    </sheetView>
  </sheetViews>
  <sheetFormatPr baseColWidth="10" defaultRowHeight="14.5" x14ac:dyDescent="0.35"/>
  <cols>
    <col min="1" max="1" width="16.81640625" style="36" customWidth="1"/>
    <col min="2" max="2" width="9.90625" style="38" customWidth="1"/>
    <col min="3" max="3" width="23.90625" style="38" customWidth="1"/>
    <col min="4" max="7" width="9.08984375" style="19" customWidth="1"/>
    <col min="8" max="9" width="0" style="53" hidden="1" customWidth="1"/>
    <col min="10" max="11" width="10.81640625" style="54" hidden="1" customWidth="1"/>
    <col min="12" max="13" width="10.90625" style="38" hidden="1" customWidth="1"/>
    <col min="14" max="14" width="13.6328125" style="55" hidden="1" customWidth="1"/>
    <col min="15" max="15" width="7.1796875" style="40" hidden="1" customWidth="1"/>
    <col min="16" max="16" width="9.81640625" style="40" hidden="1" customWidth="1"/>
    <col min="17" max="18" width="8.54296875" style="55" hidden="1" customWidth="1"/>
    <col min="19" max="19" width="7.1796875" style="55" hidden="1" customWidth="1"/>
    <col min="20" max="20" width="9.81640625" style="40" customWidth="1"/>
    <col min="21" max="23" width="8.54296875" style="55" customWidth="1"/>
    <col min="24" max="24" width="10.90625" style="6"/>
    <col min="25" max="25" width="9.81640625" style="5" customWidth="1"/>
    <col min="26" max="26" width="10" style="5" customWidth="1"/>
    <col min="27" max="27" width="10.90625" style="5"/>
    <col min="28" max="28" width="10" style="2" customWidth="1"/>
    <col min="29" max="29" width="10.90625" style="3"/>
  </cols>
  <sheetData>
    <row r="1" spans="1:29" s="23" customFormat="1" ht="58" x14ac:dyDescent="0.35">
      <c r="A1" s="22" t="s">
        <v>0</v>
      </c>
      <c r="B1" s="23" t="s">
        <v>2</v>
      </c>
      <c r="C1" s="23" t="s">
        <v>1</v>
      </c>
      <c r="D1" s="24" t="s">
        <v>44</v>
      </c>
      <c r="E1" s="24" t="s">
        <v>45</v>
      </c>
      <c r="F1" s="24" t="s">
        <v>19</v>
      </c>
      <c r="G1" s="24" t="s">
        <v>20</v>
      </c>
      <c r="H1" s="21" t="s">
        <v>27</v>
      </c>
      <c r="I1" s="21" t="s">
        <v>14</v>
      </c>
      <c r="J1" s="25" t="s">
        <v>46</v>
      </c>
      <c r="K1" s="25" t="s">
        <v>12</v>
      </c>
      <c r="L1" s="26" t="s">
        <v>21</v>
      </c>
      <c r="M1" s="26" t="s">
        <v>22</v>
      </c>
      <c r="N1" s="26" t="s">
        <v>23</v>
      </c>
      <c r="O1" s="25" t="s">
        <v>13</v>
      </c>
      <c r="P1" s="26" t="s">
        <v>24</v>
      </c>
      <c r="Q1" s="26" t="s">
        <v>25</v>
      </c>
      <c r="R1" s="26" t="s">
        <v>26</v>
      </c>
      <c r="S1" s="26" t="s">
        <v>35</v>
      </c>
      <c r="T1" s="4" t="s">
        <v>15</v>
      </c>
      <c r="U1" s="4" t="s">
        <v>18</v>
      </c>
      <c r="V1" s="4" t="s">
        <v>16</v>
      </c>
      <c r="W1" s="4" t="s">
        <v>17</v>
      </c>
    </row>
    <row r="2" spans="1:29" x14ac:dyDescent="0.35">
      <c r="A2" s="36">
        <v>43101</v>
      </c>
      <c r="B2" s="37"/>
      <c r="C2" s="37"/>
      <c r="D2" s="19">
        <v>0.33333333333333331</v>
      </c>
      <c r="E2" s="19">
        <v>0.33333333333333331</v>
      </c>
      <c r="H2" s="3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2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2" s="40" t="str">
        <f>IF(data[[#This Row],[Hdébut garde]]&lt;&gt;"","Garde",IF(data[[#This Row],[Hdébut corrigé]]&lt;&gt;"","Intervention",""))</f>
        <v>Garde</v>
      </c>
      <c r="K2" s="40" t="str">
        <f>IF(OR(WEEKDAY(data[[#This Row],[Date]],2)=7,COUNTIF(JF,data[[#This Row],[Date]])=1),"oui","non")</f>
        <v>oui</v>
      </c>
      <c r="L2" s="41">
        <f>MAX(0,(MIN(1,data[[#This Row],[Hfin corrigée]])-data[[#This Row],[Hdébut corrigé]])-data[[#This Row],[NUIT1.1]]-data[[#This Row],[NUIT1.2]])</f>
        <v>0.58333333333333337</v>
      </c>
      <c r="M2" s="41">
        <f>IF(data[[#This Row],[Hfin Interv.]]="",0,(
MIN(FinNuit,MIN(1,data[[#This Row],[Hfin corrigée]]))-MIN(FinNuit,data[[#This Row],[Hdébut corrigé]])
))</f>
        <v>0</v>
      </c>
      <c r="N2" s="41">
        <f>MAX(0,(MAX(0,(MIN(1,data[[#This Row],[Hfin corrigée]])-DebNuit))-MAX(0,(data[[#This Row],[Hdébut corrigé]]-DebNuit))))</f>
        <v>8.333333333333337E-2</v>
      </c>
      <c r="O2" s="40" t="str">
        <f>IF(OR(WEEKDAY(data[[#This Row],[Date]]+data[[#This Row],[Hfin corrigée]],2)=7,COUNTIF(JF,INT(data[[#This Row],[Date]]+data[[#This Row],[Hfin corrigée]]))=1),"oui","non")</f>
        <v>non</v>
      </c>
      <c r="P2" s="41">
        <f>MAX(0,data[[#This Row],[Hfin corrigée]]-MAX(1,data[[#This Row],[Hdébut corrigé]]))-data[[#This Row],[NUIT2.1]]-data[[#This Row],[NUIT2.2]]</f>
        <v>4.1666666666666519E-2</v>
      </c>
      <c r="Q2" s="41">
        <f>MAX(0,MIN(1+FinNuit,data[[#This Row],[Hfin corrigée]])-MAX(1,data[[#This Row],[Hdébut corrigé]]))</f>
        <v>0.29166666666666674</v>
      </c>
      <c r="R2" s="41">
        <f>MAX(0,(data[[#This Row],[Hfin corrigée]]-DebNuit-1))</f>
        <v>0</v>
      </c>
      <c r="S2" s="41">
        <f>IF(data[[#This Row],[Garde / Interv.]]="Intervention",MAX(0,data[[#This Row],[Hfin corrigée]]-SUMPRODUCT((data[Date]=data[[#This Row],[Date]])*(data[Garde / Interv.]="Garde")*data[Hfin corrigée])),0)</f>
        <v>0</v>
      </c>
      <c r="T2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0.56319444444444433</v>
      </c>
      <c r="U2" s="42">
        <f>MAX(0,IF(data[[#This Row],[Garde / Interv.]]="Intervention",(data[[#This Row],[Fin Dim ou Férié]]="non")*data[[#This Row],[JOUR2]]+(data[[#This Row],[Début Dim ou Férié]]="non")*data[[#This Row],[JOUR1]],0))</f>
        <v>0</v>
      </c>
      <c r="V2" s="42">
        <f>IF(data[[#This Row],[Garde / Interv.]]="Intervention",(data[[#This Row],[Fin Dim ou Férié]]="oui")*data[[#This Row],[JOUR2]]+(data[[#This Row],[Début Dim ou Férié]]="oui")*data[[#This Row],[JOUR1]],0)</f>
        <v>0</v>
      </c>
      <c r="W2" s="42">
        <f>MAX(0,IF(data[[#This Row],[Garde / Interv.]]="Intervention",data[[#This Row],[NUIT1.1]]+data[[#This Row],[NUIT1.2]]+data[[#This Row],[NUIT2.1]]+data[[#This Row],[NUIT2.2]],0))</f>
        <v>0</v>
      </c>
      <c r="X2"/>
      <c r="Y2"/>
      <c r="Z2"/>
      <c r="AA2"/>
      <c r="AB2"/>
      <c r="AC2"/>
    </row>
    <row r="3" spans="1:29" x14ac:dyDescent="0.35">
      <c r="A3" s="36">
        <v>43101</v>
      </c>
      <c r="B3" s="49" t="s">
        <v>3</v>
      </c>
      <c r="C3" s="36"/>
      <c r="F3" s="19">
        <v>0.33333333333333331</v>
      </c>
      <c r="G3" s="19">
        <v>0.56597222222222221</v>
      </c>
      <c r="H3" s="3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3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0.56597222222222221</v>
      </c>
      <c r="J3" s="40" t="str">
        <f>IF(data[[#This Row],[Hdébut garde]]&lt;&gt;"","Garde",IF(data[[#This Row],[Hdébut corrigé]]&lt;&gt;"","Intervention",""))</f>
        <v>Intervention</v>
      </c>
      <c r="K3" s="50" t="str">
        <f>IF(OR(WEEKDAY(data[[#This Row],[Date]],2)=7,COUNTIF(JF,data[[#This Row],[Date]])=1),"oui","non")</f>
        <v>oui</v>
      </c>
      <c r="L3" s="42">
        <f>MAX(0,(MIN(1,data[[#This Row],[Hfin corrigée]])-data[[#This Row],[Hdébut corrigé]])-data[[#This Row],[NUIT1.1]]-data[[#This Row],[NUIT1.2]])</f>
        <v>0.2326388888888889</v>
      </c>
      <c r="M3" s="42">
        <f>IF(data[[#This Row],[Hfin Interv.]]="",0,(
MIN(FinNuit,MIN(1,data[[#This Row],[Hfin corrigée]]))-MIN(FinNuit,data[[#This Row],[Hdébut corrigé]])
))</f>
        <v>0</v>
      </c>
      <c r="N3" s="42">
        <f>MAX(0,(MAX(0,(MIN(1,data[[#This Row],[Hfin corrigée]])-DebNuit))-MAX(0,(data[[#This Row],[Hdébut corrigé]]-DebNuit))))</f>
        <v>0</v>
      </c>
      <c r="O3" s="50" t="str">
        <f>IF(OR(WEEKDAY(data[[#This Row],[Date]]+data[[#This Row],[Hfin corrigée]],2)=7,COUNTIF(JF,INT(data[[#This Row],[Date]]+data[[#This Row],[Hfin corrigée]]))=1),"oui","non")</f>
        <v>oui</v>
      </c>
      <c r="P3" s="42">
        <f>MAX(0,data[[#This Row],[Hfin corrigée]]-MAX(1,data[[#This Row],[Hdébut corrigé]]))-data[[#This Row],[NUIT2.1]]-data[[#This Row],[NUIT2.2]]</f>
        <v>0</v>
      </c>
      <c r="Q3" s="42">
        <f>MAX(0,MIN(1+FinNuit,data[[#This Row],[Hfin corrigée]])-MAX(1,data[[#This Row],[Hdébut corrigé]]))</f>
        <v>0</v>
      </c>
      <c r="R3" s="42">
        <f>MAX(0,(data[[#This Row],[Hfin corrigée]]-DebNuit-1))</f>
        <v>0</v>
      </c>
      <c r="S3" s="42">
        <f>IF(data[[#This Row],[Garde / Interv.]]="Intervention",MAX(0,data[[#This Row],[Hfin corrigée]]-SUMPRODUCT((data[Date]=data[[#This Row],[Date]])*(data[Garde / Interv.]="Garde")*data[Hfin corrigée])),0)</f>
        <v>0</v>
      </c>
      <c r="T3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" s="42">
        <f>MAX(0,IF(data[[#This Row],[Garde / Interv.]]="Intervention",(data[[#This Row],[Fin Dim ou Férié]]="non")*data[[#This Row],[JOUR2]]+(data[[#This Row],[Début Dim ou Férié]]="non")*data[[#This Row],[JOUR1]],0))</f>
        <v>0</v>
      </c>
      <c r="V3" s="51">
        <f>IF(data[[#This Row],[Garde / Interv.]]="Intervention",(data[[#This Row],[Fin Dim ou Férié]]="oui")*data[[#This Row],[JOUR2]]+(data[[#This Row],[Début Dim ou Férié]]="oui")*data[[#This Row],[JOUR1]],0)</f>
        <v>0.2326388888888889</v>
      </c>
      <c r="W3" s="52">
        <f>MAX(0,IF(data[[#This Row],[Garde / Interv.]]="Intervention",data[[#This Row],[NUIT1.1]]+data[[#This Row],[NUIT1.2]]+data[[#This Row],[NUIT2.1]]+data[[#This Row],[NUIT2.2]],0))</f>
        <v>0</v>
      </c>
      <c r="X3"/>
      <c r="Y3"/>
      <c r="Z3"/>
      <c r="AA3"/>
      <c r="AB3"/>
      <c r="AC3"/>
    </row>
    <row r="4" spans="1:29" x14ac:dyDescent="0.35">
      <c r="A4" s="36">
        <v>43101</v>
      </c>
      <c r="B4" s="49" t="s">
        <v>3</v>
      </c>
      <c r="C4" s="36"/>
      <c r="F4" s="19">
        <v>0.56944444444444442</v>
      </c>
      <c r="G4" s="19">
        <v>0.70972222222222225</v>
      </c>
      <c r="H4" s="39">
        <f>IF(data[[#This Row],[Hdébut garde]]&lt;&gt;"",
data[[#This Row],[Hdébut garde]],
data[[#This Row],[Hdébut interv.]]+IF(data[[#This Row],[Hdébut interv.]]&lt;SUMPRODUCT((data[Date]=data[[#This Row],[Date]])*data[Hdébut garde]),1,0)
)</f>
        <v>0.56944444444444442</v>
      </c>
      <c r="I4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0.70972222222222225</v>
      </c>
      <c r="J4" s="40" t="str">
        <f>IF(data[[#This Row],[Hdébut garde]]&lt;&gt;"","Garde",IF(data[[#This Row],[Hdébut corrigé]]&lt;&gt;"","Intervention",""))</f>
        <v>Intervention</v>
      </c>
      <c r="K4" s="50" t="str">
        <f>IF(OR(WEEKDAY(data[[#This Row],[Date]],2)=7,COUNTIF(JF,data[[#This Row],[Date]])=1),"oui","non")</f>
        <v>oui</v>
      </c>
      <c r="L4" s="42">
        <f>MAX(0,(MIN(1,data[[#This Row],[Hfin corrigée]])-data[[#This Row],[Hdébut corrigé]])-data[[#This Row],[NUIT1.1]]-data[[#This Row],[NUIT1.2]])</f>
        <v>0.14027777777777783</v>
      </c>
      <c r="M4" s="42">
        <f>IF(data[[#This Row],[Hfin Interv.]]="",0,(
MIN(FinNuit,MIN(1,data[[#This Row],[Hfin corrigée]]))-MIN(FinNuit,data[[#This Row],[Hdébut corrigé]])
))</f>
        <v>0</v>
      </c>
      <c r="N4" s="42">
        <f>MAX(0,(MAX(0,(MIN(1,data[[#This Row],[Hfin corrigée]])-DebNuit))-MAX(0,(data[[#This Row],[Hdébut corrigé]]-DebNuit))))</f>
        <v>0</v>
      </c>
      <c r="O4" s="50" t="str">
        <f>IF(OR(WEEKDAY(data[[#This Row],[Date]]+data[[#This Row],[Hfin corrigée]],2)=7,COUNTIF(JF,INT(data[[#This Row],[Date]]+data[[#This Row],[Hfin corrigée]]))=1),"oui","non")</f>
        <v>oui</v>
      </c>
      <c r="P4" s="42">
        <f>MAX(0,data[[#This Row],[Hfin corrigée]]-MAX(1,data[[#This Row],[Hdébut corrigé]]))-data[[#This Row],[NUIT2.1]]-data[[#This Row],[NUIT2.2]]</f>
        <v>0</v>
      </c>
      <c r="Q4" s="42">
        <f>MAX(0,MIN(1+FinNuit,data[[#This Row],[Hfin corrigée]])-MAX(1,data[[#This Row],[Hdébut corrigé]]))</f>
        <v>0</v>
      </c>
      <c r="R4" s="42">
        <f>MAX(0,(data[[#This Row],[Hfin corrigée]]-DebNuit-1))</f>
        <v>0</v>
      </c>
      <c r="S4" s="42">
        <f>IF(data[[#This Row],[Garde / Interv.]]="Intervention",MAX(0,data[[#This Row],[Hfin corrigée]]-SUMPRODUCT((data[Date]=data[[#This Row],[Date]])*(data[Garde / Interv.]="Garde")*data[Hfin corrigée])),0)</f>
        <v>0</v>
      </c>
      <c r="T4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" s="42">
        <f>MAX(0,IF(data[[#This Row],[Garde / Interv.]]="Intervention",(data[[#This Row],[Fin Dim ou Férié]]="non")*data[[#This Row],[JOUR2]]+(data[[#This Row],[Début Dim ou Férié]]="non")*data[[#This Row],[JOUR1]],0))</f>
        <v>0</v>
      </c>
      <c r="V4" s="51">
        <f>IF(data[[#This Row],[Garde / Interv.]]="Intervention",(data[[#This Row],[Fin Dim ou Férié]]="oui")*data[[#This Row],[JOUR2]]+(data[[#This Row],[Début Dim ou Férié]]="oui")*data[[#This Row],[JOUR1]],0)</f>
        <v>0.14027777777777783</v>
      </c>
      <c r="W4" s="42">
        <f>MAX(0,IF(data[[#This Row],[Garde / Interv.]]="Intervention",data[[#This Row],[NUIT1.1]]+data[[#This Row],[NUIT1.2]]+data[[#This Row],[NUIT2.1]]+data[[#This Row],[NUIT2.2]],0))</f>
        <v>0</v>
      </c>
      <c r="X4"/>
      <c r="Y4"/>
      <c r="Z4"/>
      <c r="AA4"/>
      <c r="AB4"/>
      <c r="AC4"/>
    </row>
    <row r="5" spans="1:29" x14ac:dyDescent="0.35">
      <c r="A5" s="36">
        <v>43101</v>
      </c>
      <c r="B5" s="49" t="s">
        <v>3</v>
      </c>
      <c r="C5" s="36"/>
      <c r="F5" s="19">
        <v>0.78125</v>
      </c>
      <c r="G5" s="19">
        <v>0.84513888888888899</v>
      </c>
      <c r="H5" s="39">
        <f>IF(data[[#This Row],[Hdébut garde]]&lt;&gt;"",
data[[#This Row],[Hdébut garde]],
data[[#This Row],[Hdébut interv.]]+IF(data[[#This Row],[Hdébut interv.]]&lt;SUMPRODUCT((data[Date]=data[[#This Row],[Date]])*data[Hdébut garde]),1,0)
)</f>
        <v>0.78125</v>
      </c>
      <c r="I5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0.84513888888888899</v>
      </c>
      <c r="J5" s="40" t="str">
        <f>IF(data[[#This Row],[Hdébut garde]]&lt;&gt;"","Garde",IF(data[[#This Row],[Hdébut corrigé]]&lt;&gt;"","Intervention",""))</f>
        <v>Intervention</v>
      </c>
      <c r="K5" s="50" t="str">
        <f>IF(OR(WEEKDAY(data[[#This Row],[Date]],2)=7,COUNTIF(JF,data[[#This Row],[Date]])=1),"oui","non")</f>
        <v>oui</v>
      </c>
      <c r="L5" s="42">
        <f>MAX(0,(MIN(1,data[[#This Row],[Hfin corrigée]])-data[[#This Row],[Hdébut corrigé]])-data[[#This Row],[NUIT1.1]]-data[[#This Row],[NUIT1.2]])</f>
        <v>6.3888888888888995E-2</v>
      </c>
      <c r="M5" s="42">
        <f>IF(data[[#This Row],[Hfin Interv.]]="",0,(
MIN(FinNuit,MIN(1,data[[#This Row],[Hfin corrigée]]))-MIN(FinNuit,data[[#This Row],[Hdébut corrigé]])
))</f>
        <v>0</v>
      </c>
      <c r="N5" s="42">
        <f>MAX(0,(MAX(0,(MIN(1,data[[#This Row],[Hfin corrigée]])-DebNuit))-MAX(0,(data[[#This Row],[Hdébut corrigé]]-DebNuit))))</f>
        <v>0</v>
      </c>
      <c r="O5" s="50" t="str">
        <f>IF(OR(WEEKDAY(data[[#This Row],[Date]]+data[[#This Row],[Hfin corrigée]],2)=7,COUNTIF(JF,INT(data[[#This Row],[Date]]+data[[#This Row],[Hfin corrigée]]))=1),"oui","non")</f>
        <v>oui</v>
      </c>
      <c r="P5" s="42">
        <f>MAX(0,data[[#This Row],[Hfin corrigée]]-MAX(1,data[[#This Row],[Hdébut corrigé]]))-data[[#This Row],[NUIT2.1]]-data[[#This Row],[NUIT2.2]]</f>
        <v>0</v>
      </c>
      <c r="Q5" s="42">
        <f>MAX(0,MIN(1+FinNuit,data[[#This Row],[Hfin corrigée]])-MAX(1,data[[#This Row],[Hdébut corrigé]]))</f>
        <v>0</v>
      </c>
      <c r="R5" s="42">
        <f>MAX(0,(data[[#This Row],[Hfin corrigée]]-DebNuit-1))</f>
        <v>0</v>
      </c>
      <c r="S5" s="42">
        <f>IF(data[[#This Row],[Garde / Interv.]]="Intervention",MAX(0,data[[#This Row],[Hfin corrigée]]-SUMPRODUCT((data[Date]=data[[#This Row],[Date]])*(data[Garde / Interv.]="Garde")*data[Hfin corrigée])),0)</f>
        <v>0</v>
      </c>
      <c r="T5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" s="42">
        <f>MAX(0,IF(data[[#This Row],[Garde / Interv.]]="Intervention",(data[[#This Row],[Fin Dim ou Férié]]="non")*data[[#This Row],[JOUR2]]+(data[[#This Row],[Début Dim ou Férié]]="non")*data[[#This Row],[JOUR1]],0))</f>
        <v>0</v>
      </c>
      <c r="V5" s="51">
        <f>IF(data[[#This Row],[Garde / Interv.]]="Intervention",(data[[#This Row],[Fin Dim ou Férié]]="oui")*data[[#This Row],[JOUR2]]+(data[[#This Row],[Début Dim ou Férié]]="oui")*data[[#This Row],[JOUR1]],0)</f>
        <v>6.3888888888888995E-2</v>
      </c>
      <c r="W5" s="42">
        <f>MAX(0,IF(data[[#This Row],[Garde / Interv.]]="Intervention",data[[#This Row],[NUIT1.1]]+data[[#This Row],[NUIT1.2]]+data[[#This Row],[NUIT2.1]]+data[[#This Row],[NUIT2.2]],0))</f>
        <v>0</v>
      </c>
      <c r="X5"/>
      <c r="Y5"/>
      <c r="Z5"/>
      <c r="AA5"/>
      <c r="AB5"/>
      <c r="AC5"/>
    </row>
    <row r="6" spans="1:29" x14ac:dyDescent="0.35">
      <c r="A6" s="36">
        <v>43246</v>
      </c>
      <c r="B6" s="37"/>
      <c r="D6" s="19">
        <v>0.5</v>
      </c>
      <c r="E6" s="19">
        <v>0.33333333333333331</v>
      </c>
      <c r="H6" s="39">
        <f>IF(data[[#This Row],[Hdébut garde]]&lt;&gt;"",
data[[#This Row],[Hdébut garde]],
data[[#This Row],[Hdébut interv.]]+IF(data[[#This Row],[Hdébut interv.]]&lt;SUMPRODUCT((data[Date]=data[[#This Row],[Date]])*data[Hdébut garde]),1,0)
)</f>
        <v>0.5</v>
      </c>
      <c r="I6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6" s="40" t="str">
        <f>IF(data[[#This Row],[Hdébut garde]]&lt;&gt;"","Garde",IF(data[[#This Row],[Hdébut corrigé]]&lt;&gt;"","Intervention",""))</f>
        <v>Garde</v>
      </c>
      <c r="K6" s="40" t="str">
        <f>IF(OR(WEEKDAY(data[[#This Row],[Date]],2)=7,COUNTIF(JF,data[[#This Row],[Date]])=1),"oui","non")</f>
        <v>non</v>
      </c>
      <c r="L6" s="41">
        <f>MAX(0,(MIN(1,data[[#This Row],[Hfin corrigée]])-data[[#This Row],[Hdébut corrigé]])-data[[#This Row],[NUIT1.1]]-data[[#This Row],[NUIT1.2]])</f>
        <v>0.41666666666666663</v>
      </c>
      <c r="M6" s="41">
        <f>IF(data[[#This Row],[Hfin Interv.]]="",0,(
MIN(FinNuit,MIN(1,data[[#This Row],[Hfin corrigée]]))-MIN(FinNuit,data[[#This Row],[Hdébut corrigé]])
))</f>
        <v>0</v>
      </c>
      <c r="N6" s="41">
        <f>MAX(0,(MAX(0,(MIN(1,data[[#This Row],[Hfin corrigée]])-DebNuit))-MAX(0,(data[[#This Row],[Hdébut corrigé]]-DebNuit))))</f>
        <v>8.333333333333337E-2</v>
      </c>
      <c r="O6" s="40" t="str">
        <f>IF(OR(WEEKDAY(data[[#This Row],[Date]]+data[[#This Row],[Hfin corrigée]],2)=7,COUNTIF(JF,INT(data[[#This Row],[Date]]+data[[#This Row],[Hfin corrigée]]))=1),"oui","non")</f>
        <v>oui</v>
      </c>
      <c r="P6" s="41">
        <f>MAX(0,data[[#This Row],[Hfin corrigée]]-MAX(1,data[[#This Row],[Hdébut corrigé]]))-data[[#This Row],[NUIT2.1]]-data[[#This Row],[NUIT2.2]]</f>
        <v>4.1666666666666519E-2</v>
      </c>
      <c r="Q6" s="41">
        <f>MAX(0,MIN(1+FinNuit,data[[#This Row],[Hfin corrigée]])-MAX(1,data[[#This Row],[Hdébut corrigé]]))</f>
        <v>0.29166666666666674</v>
      </c>
      <c r="R6" s="41">
        <f>MAX(0,(data[[#This Row],[Hfin corrigée]]-DebNuit-1))</f>
        <v>0</v>
      </c>
      <c r="S6" s="41">
        <f>IF(data[[#This Row],[Garde / Interv.]]="Intervention",MAX(0,data[[#This Row],[Hfin corrigée]]-SUMPRODUCT((data[Date]=data[[#This Row],[Date]])*(data[Garde / Interv.]="Garde")*data[Hfin corrigée])),0)</f>
        <v>0</v>
      </c>
      <c r="T6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0.5347222222222221</v>
      </c>
      <c r="U6" s="42">
        <f>MAX(0,IF(data[[#This Row],[Garde / Interv.]]="Intervention",(data[[#This Row],[Fin Dim ou Férié]]="non")*data[[#This Row],[JOUR2]]+(data[[#This Row],[Début Dim ou Férié]]="non")*data[[#This Row],[JOUR1]],0))</f>
        <v>0</v>
      </c>
      <c r="V6" s="42">
        <f>IF(data[[#This Row],[Garde / Interv.]]="Intervention",(data[[#This Row],[Fin Dim ou Férié]]="oui")*data[[#This Row],[JOUR2]]+(data[[#This Row],[Début Dim ou Férié]]="oui")*data[[#This Row],[JOUR1]],0)</f>
        <v>0</v>
      </c>
      <c r="W6" s="42">
        <f>MAX(0,IF(data[[#This Row],[Garde / Interv.]]="Intervention",data[[#This Row],[NUIT1.1]]+data[[#This Row],[NUIT1.2]]+data[[#This Row],[NUIT2.1]]+data[[#This Row],[NUIT2.2]],0))</f>
        <v>0</v>
      </c>
      <c r="X6"/>
      <c r="Y6"/>
      <c r="Z6"/>
      <c r="AA6"/>
      <c r="AB6"/>
      <c r="AC6"/>
    </row>
    <row r="7" spans="1:29" s="18" customFormat="1" x14ac:dyDescent="0.35">
      <c r="A7" s="36">
        <v>43246</v>
      </c>
      <c r="B7" s="37" t="s">
        <v>5</v>
      </c>
      <c r="C7" s="37"/>
      <c r="D7" s="19"/>
      <c r="E7" s="19"/>
      <c r="F7" s="19">
        <v>0.51388888888888895</v>
      </c>
      <c r="G7" s="19">
        <v>0.6430555555555556</v>
      </c>
      <c r="H7" s="39">
        <f>IF(data[[#This Row],[Hdébut garde]]&lt;&gt;"",
data[[#This Row],[Hdébut garde]],
data[[#This Row],[Hdébut interv.]]+IF(data[[#This Row],[Hdébut interv.]]&lt;SUMPRODUCT((data[Date]=data[[#This Row],[Date]])*data[Hdébut garde]),1,0)
)</f>
        <v>0.51388888888888895</v>
      </c>
      <c r="I7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0.6430555555555556</v>
      </c>
      <c r="J7" s="40" t="str">
        <f>IF(data[[#This Row],[Hdébut garde]]&lt;&gt;"","Garde",IF(data[[#This Row],[Hdébut corrigé]]&lt;&gt;"","Intervention",""))</f>
        <v>Intervention</v>
      </c>
      <c r="K7" s="40" t="str">
        <f>IF(OR(WEEKDAY(data[[#This Row],[Date]],2)=7,COUNTIF(JF,data[[#This Row],[Date]])=1),"oui","non")</f>
        <v>non</v>
      </c>
      <c r="L7" s="41">
        <f>MAX(0,(MIN(1,data[[#This Row],[Hfin corrigée]])-data[[#This Row],[Hdébut corrigé]])-data[[#This Row],[NUIT1.1]]-data[[#This Row],[NUIT1.2]])</f>
        <v>0.12916666666666665</v>
      </c>
      <c r="M7" s="41">
        <f>IF(data[[#This Row],[Hfin Interv.]]="",0,(
MIN(FinNuit,MIN(1,data[[#This Row],[Hfin corrigée]]))-MIN(FinNuit,data[[#This Row],[Hdébut corrigé]])
))</f>
        <v>0</v>
      </c>
      <c r="N7" s="41">
        <f>MAX(0,(MAX(0,(MIN(1,data[[#This Row],[Hfin corrigée]])-DebNuit))-MAX(0,(data[[#This Row],[Hdébut corrigé]]-DebNuit))))</f>
        <v>0</v>
      </c>
      <c r="O7" s="40" t="str">
        <f>IF(OR(WEEKDAY(data[[#This Row],[Date]]+data[[#This Row],[Hfin corrigée]],2)=7,COUNTIF(JF,INT(data[[#This Row],[Date]]+data[[#This Row],[Hfin corrigée]]))=1),"oui","non")</f>
        <v>non</v>
      </c>
      <c r="P7" s="41">
        <f>MAX(0,data[[#This Row],[Hfin corrigée]]-MAX(1,data[[#This Row],[Hdébut corrigé]]))-data[[#This Row],[NUIT2.1]]-data[[#This Row],[NUIT2.2]]</f>
        <v>0</v>
      </c>
      <c r="Q7" s="41">
        <f>MAX(0,MIN(1+FinNuit,data[[#This Row],[Hfin corrigée]])-MAX(1,data[[#This Row],[Hdébut corrigé]]))</f>
        <v>0</v>
      </c>
      <c r="R7" s="41">
        <f>MAX(0,(data[[#This Row],[Hfin corrigée]]-DebNuit-1))</f>
        <v>0</v>
      </c>
      <c r="S7" s="41">
        <f>IF(data[[#This Row],[Garde / Interv.]]="Intervention",MAX(0,data[[#This Row],[Hfin corrigée]]-SUMPRODUCT((data[Date]=data[[#This Row],[Date]])*(data[Garde / Interv.]="Garde")*data[Hfin corrigée])),0)</f>
        <v>0</v>
      </c>
      <c r="T7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7" s="42">
        <f>MAX(0,IF(data[[#This Row],[Garde / Interv.]]="Intervention",(data[[#This Row],[Fin Dim ou Férié]]="non")*data[[#This Row],[JOUR2]]+(data[[#This Row],[Début Dim ou Férié]]="non")*data[[#This Row],[JOUR1]],0))</f>
        <v>0.12916666666666665</v>
      </c>
      <c r="V7" s="42">
        <f>IF(data[[#This Row],[Garde / Interv.]]="Intervention",(data[[#This Row],[Fin Dim ou Férié]]="oui")*data[[#This Row],[JOUR2]]+(data[[#This Row],[Début Dim ou Férié]]="oui")*data[[#This Row],[JOUR1]],0)</f>
        <v>0</v>
      </c>
      <c r="W7" s="42">
        <f>MAX(0,IF(data[[#This Row],[Garde / Interv.]]="Intervention",data[[#This Row],[NUIT1.1]]+data[[#This Row],[NUIT1.2]]+data[[#This Row],[NUIT2.1]]+data[[#This Row],[NUIT2.2]],0))</f>
        <v>0</v>
      </c>
    </row>
    <row r="8" spans="1:29" x14ac:dyDescent="0.35">
      <c r="A8" s="36">
        <v>43246</v>
      </c>
      <c r="B8" s="37" t="s">
        <v>3</v>
      </c>
      <c r="C8" s="37"/>
      <c r="F8" s="19">
        <v>0.875</v>
      </c>
      <c r="G8" s="19">
        <v>4.4444444444444446E-2</v>
      </c>
      <c r="H8" s="39">
        <f>IF(data[[#This Row],[Hdébut garde]]&lt;&gt;"",
data[[#This Row],[Hdébut garde]],
data[[#This Row],[Hdébut interv.]]+IF(data[[#This Row],[Hdébut interv.]]&lt;SUMPRODUCT((data[Date]=data[[#This Row],[Date]])*data[Hdébut garde]),1,0)
)</f>
        <v>0.875</v>
      </c>
      <c r="I8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1.0444444444444445</v>
      </c>
      <c r="J8" s="40" t="str">
        <f>IF(data[[#This Row],[Hdébut garde]]&lt;&gt;"","Garde",IF(data[[#This Row],[Hdébut corrigé]]&lt;&gt;"","Intervention",""))</f>
        <v>Intervention</v>
      </c>
      <c r="K8" s="40" t="str">
        <f>IF(OR(WEEKDAY(data[[#This Row],[Date]],2)=7,COUNTIF(JF,data[[#This Row],[Date]])=1),"oui","non")</f>
        <v>non</v>
      </c>
      <c r="L8" s="41">
        <f>MAX(0,(MIN(1,data[[#This Row],[Hfin corrigée]])-data[[#This Row],[Hdébut corrigé]])-data[[#This Row],[NUIT1.1]]-data[[#This Row],[NUIT1.2]])</f>
        <v>4.166666666666663E-2</v>
      </c>
      <c r="M8" s="41">
        <f>IF(data[[#This Row],[Hfin Interv.]]="",0,(
MIN(FinNuit,MIN(1,data[[#This Row],[Hfin corrigée]]))-MIN(FinNuit,data[[#This Row],[Hdébut corrigé]])
))</f>
        <v>0</v>
      </c>
      <c r="N8" s="41">
        <f>MAX(0,(MAX(0,(MIN(1,data[[#This Row],[Hfin corrigée]])-DebNuit))-MAX(0,(data[[#This Row],[Hdébut corrigé]]-DebNuit))))</f>
        <v>8.333333333333337E-2</v>
      </c>
      <c r="O8" s="40" t="str">
        <f>IF(OR(WEEKDAY(data[[#This Row],[Date]]+data[[#This Row],[Hfin corrigée]],2)=7,COUNTIF(JF,INT(data[[#This Row],[Date]]+data[[#This Row],[Hfin corrigée]]))=1),"oui","non")</f>
        <v>oui</v>
      </c>
      <c r="P8" s="41">
        <f>MAX(0,data[[#This Row],[Hfin corrigée]]-MAX(1,data[[#This Row],[Hdébut corrigé]]))-data[[#This Row],[NUIT2.1]]-data[[#This Row],[NUIT2.2]]</f>
        <v>0</v>
      </c>
      <c r="Q8" s="41">
        <f>MAX(0,MIN(1+FinNuit,data[[#This Row],[Hfin corrigée]])-MAX(1,data[[#This Row],[Hdébut corrigé]]))</f>
        <v>4.4444444444444509E-2</v>
      </c>
      <c r="R8" s="41">
        <f>MAX(0,(data[[#This Row],[Hfin corrigée]]-DebNuit-1))</f>
        <v>0</v>
      </c>
      <c r="S8" s="41">
        <f>IF(data[[#This Row],[Garde / Interv.]]="Intervention",MAX(0,data[[#This Row],[Hfin corrigée]]-SUMPRODUCT((data[Date]=data[[#This Row],[Date]])*(data[Garde / Interv.]="Garde")*data[Hfin corrigée])),0)</f>
        <v>0</v>
      </c>
      <c r="T8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8" s="42">
        <f>MAX(0,IF(data[[#This Row],[Garde / Interv.]]="Intervention",(data[[#This Row],[Fin Dim ou Férié]]="non")*data[[#This Row],[JOUR2]]+(data[[#This Row],[Début Dim ou Férié]]="non")*data[[#This Row],[JOUR1]],0))</f>
        <v>4.166666666666663E-2</v>
      </c>
      <c r="V8" s="42">
        <f>IF(data[[#This Row],[Garde / Interv.]]="Intervention",(data[[#This Row],[Fin Dim ou Férié]]="oui")*data[[#This Row],[JOUR2]]+(data[[#This Row],[Début Dim ou Férié]]="oui")*data[[#This Row],[JOUR1]],0)</f>
        <v>0</v>
      </c>
      <c r="W8" s="42">
        <f>MAX(0,IF(data[[#This Row],[Garde / Interv.]]="Intervention",data[[#This Row],[NUIT1.1]]+data[[#This Row],[NUIT1.2]]+data[[#This Row],[NUIT2.1]]+data[[#This Row],[NUIT2.2]],0))</f>
        <v>0.12777777777777788</v>
      </c>
      <c r="X8"/>
      <c r="Y8"/>
      <c r="Z8"/>
      <c r="AA8"/>
      <c r="AB8"/>
      <c r="AC8"/>
    </row>
    <row r="9" spans="1:29" x14ac:dyDescent="0.35">
      <c r="A9" s="36">
        <v>43271</v>
      </c>
      <c r="B9" s="37"/>
      <c r="C9" s="37"/>
      <c r="D9" s="19">
        <v>0.33333333333333331</v>
      </c>
      <c r="E9" s="19">
        <v>0.33333333333333331</v>
      </c>
      <c r="H9" s="3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9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9" s="40" t="str">
        <f>IF(data[[#This Row],[Hdébut garde]]&lt;&gt;"","Garde",IF(data[[#This Row],[Hdébut corrigé]]&lt;&gt;"","Intervention",""))</f>
        <v>Garde</v>
      </c>
      <c r="K9" s="40" t="str">
        <f>IF(OR(WEEKDAY(data[[#This Row],[Date]],2)=7,COUNTIF(JF,data[[#This Row],[Date]])=1),"oui","non")</f>
        <v>non</v>
      </c>
      <c r="L9" s="41">
        <f>MAX(0,(MIN(1,data[[#This Row],[Hfin corrigée]])-data[[#This Row],[Hdébut corrigé]])-data[[#This Row],[NUIT1.1]]-data[[#This Row],[NUIT1.2]])</f>
        <v>0.58333333333333337</v>
      </c>
      <c r="M9" s="41">
        <f>IF(data[[#This Row],[Hfin Interv.]]="",0,(
MIN(FinNuit,MIN(1,data[[#This Row],[Hfin corrigée]]))-MIN(FinNuit,data[[#This Row],[Hdébut corrigé]])
))</f>
        <v>0</v>
      </c>
      <c r="N9" s="41">
        <f>MAX(0,(MAX(0,(MIN(1,data[[#This Row],[Hfin corrigée]])-DebNuit))-MAX(0,(data[[#This Row],[Hdébut corrigé]]-DebNuit))))</f>
        <v>8.333333333333337E-2</v>
      </c>
      <c r="O9" s="40" t="str">
        <f>IF(OR(WEEKDAY(data[[#This Row],[Date]]+data[[#This Row],[Hfin corrigée]],2)=7,COUNTIF(JF,INT(data[[#This Row],[Date]]+data[[#This Row],[Hfin corrigée]]))=1),"oui","non")</f>
        <v>non</v>
      </c>
      <c r="P9" s="41">
        <f>MAX(0,data[[#This Row],[Hfin corrigée]]-MAX(1,data[[#This Row],[Hdébut corrigé]]))-data[[#This Row],[NUIT2.1]]-data[[#This Row],[NUIT2.2]]</f>
        <v>4.1666666666666519E-2</v>
      </c>
      <c r="Q9" s="41">
        <f>MAX(0,MIN(1+FinNuit,data[[#This Row],[Hfin corrigée]])-MAX(1,data[[#This Row],[Hdébut corrigé]]))</f>
        <v>0.29166666666666674</v>
      </c>
      <c r="R9" s="41">
        <f>MAX(0,(data[[#This Row],[Hfin corrigée]]-DebNuit-1))</f>
        <v>0</v>
      </c>
      <c r="S9" s="41">
        <f>IF(data[[#This Row],[Garde / Interv.]]="Intervention",MAX(0,data[[#This Row],[Hfin corrigée]]-SUMPRODUCT((data[Date]=data[[#This Row],[Date]])*(data[Garde / Interv.]="Garde")*data[Hfin corrigée])),0)</f>
        <v>0</v>
      </c>
      <c r="T9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0.27222222222222237</v>
      </c>
      <c r="U9" s="42">
        <f>MAX(0,IF(data[[#This Row],[Garde / Interv.]]="Intervention",(data[[#This Row],[Fin Dim ou Férié]]="non")*data[[#This Row],[JOUR2]]+(data[[#This Row],[Début Dim ou Férié]]="non")*data[[#This Row],[JOUR1]],0))</f>
        <v>0</v>
      </c>
      <c r="V9" s="42">
        <f>IF(data[[#This Row],[Garde / Interv.]]="Intervention",(data[[#This Row],[Fin Dim ou Férié]]="oui")*data[[#This Row],[JOUR2]]+(data[[#This Row],[Début Dim ou Férié]]="oui")*data[[#This Row],[JOUR1]],0)</f>
        <v>0</v>
      </c>
      <c r="W9" s="42">
        <f>MAX(0,IF(data[[#This Row],[Garde / Interv.]]="Intervention",data[[#This Row],[NUIT1.1]]+data[[#This Row],[NUIT1.2]]+data[[#This Row],[NUIT2.1]]+data[[#This Row],[NUIT2.2]],0))</f>
        <v>0</v>
      </c>
      <c r="X9" s="5"/>
      <c r="Z9" s="2"/>
      <c r="AA9" s="3"/>
      <c r="AB9"/>
      <c r="AC9"/>
    </row>
    <row r="10" spans="1:29" x14ac:dyDescent="0.35">
      <c r="A10" s="43">
        <v>43271</v>
      </c>
      <c r="B10" s="44" t="s">
        <v>6</v>
      </c>
      <c r="C10" s="44"/>
      <c r="D10" s="20"/>
      <c r="E10" s="20"/>
      <c r="F10" s="20">
        <v>0.14583333333333301</v>
      </c>
      <c r="G10" s="20">
        <v>0.3125</v>
      </c>
      <c r="H10" s="45">
        <f>IF(data[[#This Row],[Hdébut garde]]&lt;&gt;"",
data[[#This Row],[Hdébut garde]],
data[[#This Row],[Hdébut interv.]]+IF(data[[#This Row],[Hdébut interv.]]&lt;SUMPRODUCT((data[Date]=data[[#This Row],[Date]])*data[Hdébut garde]),1,0)
)</f>
        <v>1.145833333333333</v>
      </c>
      <c r="I10" s="4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1.3125</v>
      </c>
      <c r="J10" s="46" t="str">
        <f>IF(data[[#This Row],[Hdébut garde]]&lt;&gt;"","Garde",IF(data[[#This Row],[Hdébut corrigé]]&lt;&gt;"","Intervention",""))</f>
        <v>Intervention</v>
      </c>
      <c r="K10" s="46" t="str">
        <f>IF(OR(WEEKDAY(data[[#This Row],[Date]],2)=7,COUNTIF(JF,data[[#This Row],[Date]])=1),"oui","non")</f>
        <v>non</v>
      </c>
      <c r="L10" s="47">
        <f>MAX(0,(MIN(1,data[[#This Row],[Hfin corrigée]])-data[[#This Row],[Hdébut corrigé]])-data[[#This Row],[NUIT1.1]]-data[[#This Row],[NUIT1.2]])</f>
        <v>0</v>
      </c>
      <c r="M10" s="47">
        <f>IF(data[[#This Row],[Hfin Interv.]]="",0,(
MIN(FinNuit,MIN(1,data[[#This Row],[Hfin corrigée]]))-MIN(FinNuit,data[[#This Row],[Hdébut corrigé]])
))</f>
        <v>0</v>
      </c>
      <c r="N10" s="47">
        <f>MAX(0,(MAX(0,(MIN(1,data[[#This Row],[Hfin corrigée]])-DebNuit))-MAX(0,(data[[#This Row],[Hdébut corrigé]]-DebNuit))))</f>
        <v>0</v>
      </c>
      <c r="O10" s="46" t="str">
        <f>IF(OR(WEEKDAY(data[[#This Row],[Date]]+data[[#This Row],[Hfin corrigée]],2)=7,COUNTIF(JF,INT(data[[#This Row],[Date]]+data[[#This Row],[Hfin corrigée]]))=1),"oui","non")</f>
        <v>non</v>
      </c>
      <c r="P10" s="47">
        <f>MAX(0,data[[#This Row],[Hfin corrigée]]-MAX(1,data[[#This Row],[Hdébut corrigé]]))-data[[#This Row],[NUIT2.1]]-data[[#This Row],[NUIT2.2]]</f>
        <v>2.0833333333333259E-2</v>
      </c>
      <c r="Q10" s="47">
        <f>MAX(0,MIN(1+FinNuit,data[[#This Row],[Hfin corrigée]])-MAX(1,data[[#This Row],[Hdébut corrigé]]))</f>
        <v>0.1458333333333337</v>
      </c>
      <c r="R10" s="47">
        <f>MAX(0,(data[[#This Row],[Hfin corrigée]]-DebNuit-1))</f>
        <v>0</v>
      </c>
      <c r="S10" s="47">
        <f>IF(data[[#This Row],[Garde / Interv.]]="Intervention",MAX(0,data[[#This Row],[Hfin corrigée]]-SUMPRODUCT((data[Date]=data[[#This Row],[Date]])*(data[Garde / Interv.]="Garde")*data[Hfin corrigée])),0)</f>
        <v>0</v>
      </c>
      <c r="T10" s="4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0" s="48">
        <f>MAX(0,IF(data[[#This Row],[Garde / Interv.]]="Intervention",(data[[#This Row],[Fin Dim ou Férié]]="non")*data[[#This Row],[JOUR2]]+(data[[#This Row],[Début Dim ou Férié]]="non")*data[[#This Row],[JOUR1]],0))</f>
        <v>2.0833333333333259E-2</v>
      </c>
      <c r="V10" s="48">
        <f>IF(data[[#This Row],[Garde / Interv.]]="Intervention",(data[[#This Row],[Fin Dim ou Férié]]="oui")*data[[#This Row],[JOUR2]]+(data[[#This Row],[Début Dim ou Férié]]="oui")*data[[#This Row],[JOUR1]],0)</f>
        <v>0</v>
      </c>
      <c r="W10" s="48">
        <f>MAX(0,IF(data[[#This Row],[Garde / Interv.]]="Intervention",data[[#This Row],[NUIT1.1]]+data[[#This Row],[NUIT1.2]]+data[[#This Row],[NUIT2.1]]+data[[#This Row],[NUIT2.2]],0))</f>
        <v>0.1458333333333337</v>
      </c>
      <c r="X10" s="5"/>
      <c r="Z10" s="2"/>
      <c r="AA10" s="3"/>
      <c r="AB10"/>
      <c r="AC10"/>
    </row>
    <row r="11" spans="1:29" x14ac:dyDescent="0.35">
      <c r="A11" s="36">
        <v>43271</v>
      </c>
      <c r="B11" s="37" t="s">
        <v>4</v>
      </c>
      <c r="C11" s="37"/>
      <c r="F11" s="19">
        <v>0.43055555555555602</v>
      </c>
      <c r="G11" s="19">
        <v>0.9916666666666667</v>
      </c>
      <c r="H11" s="39">
        <f>IF(data[[#This Row],[Hdébut garde]]&lt;&gt;"",
data[[#This Row],[Hdébut garde]],
data[[#This Row],[Hdébut interv.]]+IF(data[[#This Row],[Hdébut interv.]]&lt;SUMPRODUCT((data[Date]=data[[#This Row],[Date]])*data[Hdébut garde]),1,0)
)</f>
        <v>0.43055555555555602</v>
      </c>
      <c r="I11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0.9916666666666667</v>
      </c>
      <c r="J11" s="40" t="str">
        <f>IF(data[[#This Row],[Hdébut garde]]&lt;&gt;"","Garde",IF(data[[#This Row],[Hdébut corrigé]]&lt;&gt;"","Intervention",""))</f>
        <v>Intervention</v>
      </c>
      <c r="K11" s="40" t="str">
        <f>IF(OR(WEEKDAY(data[[#This Row],[Date]],2)=7,COUNTIF(JF,data[[#This Row],[Date]])=1),"oui","non")</f>
        <v>non</v>
      </c>
      <c r="L11" s="41">
        <f>MAX(0,(MIN(1,data[[#This Row],[Hfin corrigée]])-data[[#This Row],[Hdébut corrigé]])-data[[#This Row],[NUIT1.1]]-data[[#This Row],[NUIT1.2]])</f>
        <v>0.48611111111111061</v>
      </c>
      <c r="M11" s="41">
        <f>IF(data[[#This Row],[Hfin Interv.]]="",0,(
MIN(FinNuit,MIN(1,data[[#This Row],[Hfin corrigée]]))-MIN(FinNuit,data[[#This Row],[Hdébut corrigé]])
))</f>
        <v>0</v>
      </c>
      <c r="N11" s="41">
        <f>MAX(0,(MAX(0,(MIN(1,data[[#This Row],[Hfin corrigée]])-DebNuit))-MAX(0,(data[[#This Row],[Hdébut corrigé]]-DebNuit))))</f>
        <v>7.5000000000000067E-2</v>
      </c>
      <c r="O11" s="40" t="str">
        <f>IF(OR(WEEKDAY(data[[#This Row],[Date]]+data[[#This Row],[Hfin corrigée]],2)=7,COUNTIF(JF,INT(data[[#This Row],[Date]]+data[[#This Row],[Hfin corrigée]]))=1),"oui","non")</f>
        <v>non</v>
      </c>
      <c r="P11" s="41">
        <f>MAX(0,data[[#This Row],[Hfin corrigée]]-MAX(1,data[[#This Row],[Hdébut corrigé]]))-data[[#This Row],[NUIT2.1]]-data[[#This Row],[NUIT2.2]]</f>
        <v>0</v>
      </c>
      <c r="Q11" s="41">
        <f>MAX(0,MIN(1+FinNuit,data[[#This Row],[Hfin corrigée]])-MAX(1,data[[#This Row],[Hdébut corrigé]]))</f>
        <v>0</v>
      </c>
      <c r="R11" s="41">
        <f>MAX(0,(data[[#This Row],[Hfin corrigée]]-DebNuit-1))</f>
        <v>0</v>
      </c>
      <c r="S11" s="41">
        <f>IF(data[[#This Row],[Garde / Interv.]]="Intervention",MAX(0,data[[#This Row],[Hfin corrigée]]-SUMPRODUCT((data[Date]=data[[#This Row],[Date]])*(data[Garde / Interv.]="Garde")*data[Hfin corrigée])),0)</f>
        <v>0</v>
      </c>
      <c r="T11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1" s="42">
        <f>MAX(0,IF(data[[#This Row],[Garde / Interv.]]="Intervention",(data[[#This Row],[Fin Dim ou Férié]]="non")*data[[#This Row],[JOUR2]]+(data[[#This Row],[Début Dim ou Férié]]="non")*data[[#This Row],[JOUR1]],0))</f>
        <v>0.48611111111111061</v>
      </c>
      <c r="V11" s="42">
        <f>IF(data[[#This Row],[Garde / Interv.]]="Intervention",(data[[#This Row],[Fin Dim ou Férié]]="oui")*data[[#This Row],[JOUR2]]+(data[[#This Row],[Début Dim ou Férié]]="oui")*data[[#This Row],[JOUR1]],0)</f>
        <v>0</v>
      </c>
      <c r="W11" s="42">
        <f>MAX(0,IF(data[[#This Row],[Garde / Interv.]]="Intervention",data[[#This Row],[NUIT1.1]]+data[[#This Row],[NUIT1.2]]+data[[#This Row],[NUIT2.1]]+data[[#This Row],[NUIT2.2]],0))</f>
        <v>7.5000000000000067E-2</v>
      </c>
      <c r="X11" s="5"/>
      <c r="Z11" s="2"/>
      <c r="AA11" s="3"/>
      <c r="AB11"/>
      <c r="AC11"/>
    </row>
    <row r="12" spans="1:29" x14ac:dyDescent="0.35">
      <c r="A12" s="36">
        <v>43295</v>
      </c>
      <c r="B12" s="37"/>
      <c r="C12" s="37"/>
      <c r="D12" s="19">
        <v>0.33333333333333331</v>
      </c>
      <c r="E12" s="19">
        <v>0.33333333333333331</v>
      </c>
      <c r="H12" s="39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I12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J12" s="40" t="str">
        <f>IF(data[[#This Row],[Hdébut garde]]&lt;&gt;"","Garde",IF(data[[#This Row],[Hdébut corrigé]]&lt;&gt;"","Intervention",""))</f>
        <v>Garde</v>
      </c>
      <c r="K12" s="40" t="str">
        <f>IF(OR(WEEKDAY(data[[#This Row],[Date]],2)=7,COUNTIF(JF,data[[#This Row],[Date]])=1),"oui","non")</f>
        <v>oui</v>
      </c>
      <c r="L12" s="41">
        <f>MAX(0,(MIN(1,data[[#This Row],[Hfin corrigée]])-data[[#This Row],[Hdébut corrigé]])-data[[#This Row],[NUIT1.1]]-data[[#This Row],[NUIT1.2]])</f>
        <v>0.58333333333333337</v>
      </c>
      <c r="M12" s="41">
        <f>IF(data[[#This Row],[Hfin Interv.]]="",0,(
MIN(FinNuit,MIN(1,data[[#This Row],[Hfin corrigée]]))-MIN(FinNuit,data[[#This Row],[Hdébut corrigé]])
))</f>
        <v>0</v>
      </c>
      <c r="N12" s="41">
        <f>MAX(0,(MAX(0,(MIN(1,data[[#This Row],[Hfin corrigée]])-DebNuit))-MAX(0,(data[[#This Row],[Hdébut corrigé]]-DebNuit))))</f>
        <v>8.333333333333337E-2</v>
      </c>
      <c r="O12" s="40" t="str">
        <f>IF(OR(WEEKDAY(data[[#This Row],[Date]]+data[[#This Row],[Hfin corrigée]],2)=7,COUNTIF(JF,INT(data[[#This Row],[Date]]+data[[#This Row],[Hfin corrigée]]))=1),"oui","non")</f>
        <v>oui</v>
      </c>
      <c r="P12" s="41">
        <f>MAX(0,data[[#This Row],[Hfin corrigée]]-MAX(1,data[[#This Row],[Hdébut corrigé]]))-data[[#This Row],[NUIT2.1]]-data[[#This Row],[NUIT2.2]]</f>
        <v>4.1666666666666519E-2</v>
      </c>
      <c r="Q12" s="41">
        <f>MAX(0,MIN(1+FinNuit,data[[#This Row],[Hfin corrigée]])-MAX(1,data[[#This Row],[Hdébut corrigé]]))</f>
        <v>0.29166666666666674</v>
      </c>
      <c r="R12" s="41">
        <f>MAX(0,(data[[#This Row],[Hfin corrigée]]-DebNuit-1))</f>
        <v>0</v>
      </c>
      <c r="S12" s="41">
        <f>IF(data[[#This Row],[Garde / Interv.]]="Intervention",MAX(0,data[[#This Row],[Hfin corrigée]]-SUMPRODUCT((data[Date]=data[[#This Row],[Date]])*(data[Garde / Interv.]="Garde")*data[Hfin corrigée])),0)</f>
        <v>0</v>
      </c>
      <c r="T12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0.6215277777777779</v>
      </c>
      <c r="U12" s="42">
        <f>MAX(0,IF(data[[#This Row],[Garde / Interv.]]="Intervention",(data[[#This Row],[Fin Dim ou Férié]]="non")*data[[#This Row],[JOUR2]]+(data[[#This Row],[Début Dim ou Férié]]="non")*data[[#This Row],[JOUR1]],0))</f>
        <v>0</v>
      </c>
      <c r="V12" s="42">
        <f>IF(data[[#This Row],[Garde / Interv.]]="Intervention",(data[[#This Row],[Fin Dim ou Férié]]="oui")*data[[#This Row],[JOUR2]]+(data[[#This Row],[Début Dim ou Férié]]="oui")*data[[#This Row],[JOUR1]],0)</f>
        <v>0</v>
      </c>
      <c r="W12" s="42">
        <f>MAX(0,IF(data[[#This Row],[Garde / Interv.]]="Intervention",data[[#This Row],[NUIT1.1]]+data[[#This Row],[NUIT1.2]]+data[[#This Row],[NUIT2.1]]+data[[#This Row],[NUIT2.2]],0))</f>
        <v>0</v>
      </c>
      <c r="X12"/>
      <c r="Y12"/>
      <c r="Z12"/>
      <c r="AA12"/>
      <c r="AB12"/>
      <c r="AC12"/>
    </row>
    <row r="13" spans="1:29" x14ac:dyDescent="0.35">
      <c r="A13" s="36">
        <v>43295</v>
      </c>
      <c r="B13" s="49" t="s">
        <v>5</v>
      </c>
      <c r="C13" s="36"/>
      <c r="F13" s="19">
        <v>0.4201388888888889</v>
      </c>
      <c r="G13" s="19">
        <v>0.59166666666666667</v>
      </c>
      <c r="H13" s="39">
        <f>IF(data[[#This Row],[Hdébut garde]]&lt;&gt;"",
data[[#This Row],[Hdébut garde]],
data[[#This Row],[Hdébut interv.]]+IF(data[[#This Row],[Hdébut interv.]]&lt;SUMPRODUCT((data[Date]=data[[#This Row],[Date]])*data[Hdébut garde]),1,0)
)</f>
        <v>0.4201388888888889</v>
      </c>
      <c r="I13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0.59166666666666667</v>
      </c>
      <c r="J13" s="40" t="str">
        <f>IF(data[[#This Row],[Hdébut garde]]&lt;&gt;"","Garde",IF(data[[#This Row],[Hdébut corrigé]]&lt;&gt;"","Intervention",""))</f>
        <v>Intervention</v>
      </c>
      <c r="K13" s="50" t="str">
        <f>IF(OR(WEEKDAY(data[[#This Row],[Date]],2)=7,COUNTIF(JF,data[[#This Row],[Date]])=1),"oui","non")</f>
        <v>oui</v>
      </c>
      <c r="L13" s="42">
        <f>MAX(0,(MIN(1,data[[#This Row],[Hfin corrigée]])-data[[#This Row],[Hdébut corrigé]])-data[[#This Row],[NUIT1.1]]-data[[#This Row],[NUIT1.2]])</f>
        <v>0.17152777777777778</v>
      </c>
      <c r="M13" s="42">
        <f>IF(data[[#This Row],[Hfin Interv.]]="",0,(
MIN(FinNuit,MIN(1,data[[#This Row],[Hfin corrigée]]))-MIN(FinNuit,data[[#This Row],[Hdébut corrigé]])
))</f>
        <v>0</v>
      </c>
      <c r="N13" s="42">
        <f>MAX(0,(MAX(0,(MIN(1,data[[#This Row],[Hfin corrigée]])-DebNuit))-MAX(0,(data[[#This Row],[Hdébut corrigé]]-DebNuit))))</f>
        <v>0</v>
      </c>
      <c r="O13" s="50" t="str">
        <f>IF(OR(WEEKDAY(data[[#This Row],[Date]]+data[[#This Row],[Hfin corrigée]],2)=7,COUNTIF(JF,INT(data[[#This Row],[Date]]+data[[#This Row],[Hfin corrigée]]))=1),"oui","non")</f>
        <v>oui</v>
      </c>
      <c r="P13" s="42">
        <f>MAX(0,data[[#This Row],[Hfin corrigée]]-MAX(1,data[[#This Row],[Hdébut corrigé]]))-data[[#This Row],[NUIT2.1]]-data[[#This Row],[NUIT2.2]]</f>
        <v>0</v>
      </c>
      <c r="Q13" s="42">
        <f>MAX(0,MIN(1+FinNuit,data[[#This Row],[Hfin corrigée]])-MAX(1,data[[#This Row],[Hdébut corrigé]]))</f>
        <v>0</v>
      </c>
      <c r="R13" s="42">
        <f>MAX(0,(data[[#This Row],[Hfin corrigée]]-DebNuit-1))</f>
        <v>0</v>
      </c>
      <c r="S13" s="42">
        <f>IF(data[[#This Row],[Garde / Interv.]]="Intervention",MAX(0,data[[#This Row],[Hfin corrigée]]-SUMPRODUCT((data[Date]=data[[#This Row],[Date]])*(data[Garde / Interv.]="Garde")*data[Hfin corrigée])),0)</f>
        <v>0</v>
      </c>
      <c r="T13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3" s="42">
        <f>MAX(0,IF(data[[#This Row],[Garde / Interv.]]="Intervention",(data[[#This Row],[Fin Dim ou Férié]]="non")*data[[#This Row],[JOUR2]]+(data[[#This Row],[Début Dim ou Férié]]="non")*data[[#This Row],[JOUR1]],0))</f>
        <v>0</v>
      </c>
      <c r="V13" s="51">
        <f>IF(data[[#This Row],[Garde / Interv.]]="Intervention",(data[[#This Row],[Fin Dim ou Férié]]="oui")*data[[#This Row],[JOUR2]]+(data[[#This Row],[Début Dim ou Férié]]="oui")*data[[#This Row],[JOUR1]],0)</f>
        <v>0.17152777777777778</v>
      </c>
      <c r="W13" s="42">
        <f>MAX(0,IF(data[[#This Row],[Garde / Interv.]]="Intervention",data[[#This Row],[NUIT1.1]]+data[[#This Row],[NUIT1.2]]+data[[#This Row],[NUIT2.1]]+data[[#This Row],[NUIT2.2]],0))</f>
        <v>0</v>
      </c>
      <c r="X13" s="5"/>
      <c r="Z13" s="2"/>
      <c r="AA13" s="3"/>
      <c r="AB13"/>
      <c r="AC13"/>
    </row>
    <row r="14" spans="1:29" x14ac:dyDescent="0.35">
      <c r="A14" s="36">
        <v>43295</v>
      </c>
      <c r="B14" s="49" t="s">
        <v>5</v>
      </c>
      <c r="C14" s="36"/>
      <c r="F14" s="19">
        <v>0.79166666666666663</v>
      </c>
      <c r="G14" s="19">
        <v>0.99861111111111101</v>
      </c>
      <c r="H14" s="39">
        <f>IF(data[[#This Row],[Hdébut garde]]&lt;&gt;"",
data[[#This Row],[Hdébut garde]],
data[[#This Row],[Hdébut interv.]]+IF(data[[#This Row],[Hdébut interv.]]&lt;SUMPRODUCT((data[Date]=data[[#This Row],[Date]])*data[Hdébut garde]),1,0)
)</f>
        <v>0.79166666666666663</v>
      </c>
      <c r="I14" s="39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0.99861111111111101</v>
      </c>
      <c r="J14" s="40" t="str">
        <f>IF(data[[#This Row],[Hdébut garde]]&lt;&gt;"","Garde",IF(data[[#This Row],[Hdébut corrigé]]&lt;&gt;"","Intervention",""))</f>
        <v>Intervention</v>
      </c>
      <c r="K14" s="50" t="str">
        <f>IF(OR(WEEKDAY(data[[#This Row],[Date]],2)=7,COUNTIF(JF,data[[#This Row],[Date]])=1),"oui","non")</f>
        <v>oui</v>
      </c>
      <c r="L14" s="42">
        <f>MAX(0,(MIN(1,data[[#This Row],[Hfin corrigée]])-data[[#This Row],[Hdébut corrigé]])-data[[#This Row],[NUIT1.1]]-data[[#This Row],[NUIT1.2]])</f>
        <v>0.125</v>
      </c>
      <c r="M14" s="42">
        <f>IF(data[[#This Row],[Hfin Interv.]]="",0,(
MIN(FinNuit,MIN(1,data[[#This Row],[Hfin corrigée]]))-MIN(FinNuit,data[[#This Row],[Hdébut corrigé]])
))</f>
        <v>0</v>
      </c>
      <c r="N14" s="42">
        <f>MAX(0,(MAX(0,(MIN(1,data[[#This Row],[Hfin corrigée]])-DebNuit))-MAX(0,(data[[#This Row],[Hdébut corrigé]]-DebNuit))))</f>
        <v>8.1944444444444375E-2</v>
      </c>
      <c r="O14" s="50" t="str">
        <f>IF(OR(WEEKDAY(data[[#This Row],[Date]]+data[[#This Row],[Hfin corrigée]],2)=7,COUNTIF(JF,INT(data[[#This Row],[Date]]+data[[#This Row],[Hfin corrigée]]))=1),"oui","non")</f>
        <v>oui</v>
      </c>
      <c r="P14" s="42">
        <f>MAX(0,data[[#This Row],[Hfin corrigée]]-MAX(1,data[[#This Row],[Hdébut corrigé]]))-data[[#This Row],[NUIT2.1]]-data[[#This Row],[NUIT2.2]]</f>
        <v>0</v>
      </c>
      <c r="Q14" s="42">
        <f>MAX(0,MIN(1+FinNuit,data[[#This Row],[Hfin corrigée]])-MAX(1,data[[#This Row],[Hdébut corrigé]]))</f>
        <v>0</v>
      </c>
      <c r="R14" s="42">
        <f>MAX(0,(data[[#This Row],[Hfin corrigée]]-DebNuit-1))</f>
        <v>0</v>
      </c>
      <c r="S14" s="42">
        <f>IF(data[[#This Row],[Garde / Interv.]]="Intervention",MAX(0,data[[#This Row],[Hfin corrigée]]-SUMPRODUCT((data[Date]=data[[#This Row],[Date]])*(data[Garde / Interv.]="Garde")*data[Hfin corrigée])),0)</f>
        <v>0</v>
      </c>
      <c r="T14" s="42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4" s="42">
        <f>MAX(0,IF(data[[#This Row],[Garde / Interv.]]="Intervention",(data[[#This Row],[Fin Dim ou Férié]]="non")*data[[#This Row],[JOUR2]]+(data[[#This Row],[Début Dim ou Férié]]="non")*data[[#This Row],[JOUR1]],0))</f>
        <v>0</v>
      </c>
      <c r="V14" s="51">
        <f>IF(data[[#This Row],[Garde / Interv.]]="Intervention",(data[[#This Row],[Fin Dim ou Férié]]="oui")*data[[#This Row],[JOUR2]]+(data[[#This Row],[Début Dim ou Férié]]="oui")*data[[#This Row],[JOUR1]],0)</f>
        <v>0.125</v>
      </c>
      <c r="W14" s="42">
        <f>MAX(0,IF(data[[#This Row],[Garde / Interv.]]="Intervention",data[[#This Row],[NUIT1.1]]+data[[#This Row],[NUIT1.2]]+data[[#This Row],[NUIT2.1]]+data[[#This Row],[NUIT2.2]],0))</f>
        <v>8.1944444444444375E-2</v>
      </c>
      <c r="X14" s="5"/>
      <c r="Z14" s="2"/>
      <c r="AA14" s="3"/>
      <c r="AB14"/>
      <c r="AC14"/>
    </row>
  </sheetData>
  <dataValidations disablePrompts="1" count="1">
    <dataValidation type="list" allowBlank="1" showInputMessage="1" showErrorMessage="1" sqref="B2:B14">
      <formula1>véhicule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9"/>
  <sheetViews>
    <sheetView workbookViewId="0"/>
  </sheetViews>
  <sheetFormatPr baseColWidth="10" defaultColWidth="16" defaultRowHeight="14.5" x14ac:dyDescent="0.35"/>
  <cols>
    <col min="1" max="2" width="16" style="29"/>
    <col min="3" max="4" width="16" style="28"/>
    <col min="5" max="9" width="16" style="6"/>
    <col min="10" max="12" width="16" style="31"/>
    <col min="13" max="13" width="16" style="32"/>
    <col min="14" max="14" width="16" style="33"/>
    <col min="15" max="16384" width="16" style="28"/>
  </cols>
  <sheetData>
    <row r="1" spans="1:14" s="27" customFormat="1" x14ac:dyDescent="0.35">
      <c r="A1" s="34" t="s">
        <v>27</v>
      </c>
      <c r="B1" s="34" t="s">
        <v>14</v>
      </c>
      <c r="C1" s="35" t="s">
        <v>21</v>
      </c>
      <c r="D1" s="35" t="s">
        <v>22</v>
      </c>
      <c r="E1" s="35" t="s">
        <v>23</v>
      </c>
      <c r="F1" s="35" t="s">
        <v>24</v>
      </c>
      <c r="G1" s="35" t="s">
        <v>25</v>
      </c>
      <c r="H1" s="35" t="s">
        <v>26</v>
      </c>
    </row>
    <row r="2" spans="1:14" x14ac:dyDescent="0.35">
      <c r="A2" s="29">
        <v>0.16666666666666666</v>
      </c>
      <c r="B2" s="29">
        <v>0.20833333333333334</v>
      </c>
      <c r="C2" s="30">
        <f>MAX(0,(MIN(1,test[[#This Row],[Hfin corrigée]])-test[[#This Row],[Hdébut corrigé]])-test[[#This Row],[NUIT1.1]]-test[[#This Row],[NUIT1.2]])</f>
        <v>0</v>
      </c>
      <c r="D2" s="30">
        <f>MIN(FinNuit,MIN(1,test[[#This Row],[Hfin corrigée]]))-MIN(FinNuit,test[[#This Row],[Hdébut corrigé]])</f>
        <v>4.1666666666666685E-2</v>
      </c>
      <c r="E2" s="30">
        <f>MAX(0,(MAX(0,(MIN(1,test[[#This Row],[Hfin corrigée]])-DebNuit))-MAX(0,(test[[#This Row],[Hdébut corrigé]]-DebNuit))))</f>
        <v>0</v>
      </c>
      <c r="F2" s="30">
        <f>MAX(0,test[[#This Row],[Hfin corrigée]]-MAX(1,test[[#This Row],[Hdébut corrigé]]))-test[[#This Row],[NUIT2.1]]-test[[#This Row],[NUIT2.2]]</f>
        <v>0</v>
      </c>
      <c r="G2" s="30">
        <f>MAX(0,MIN(1+FinNuit,test[[#This Row],[Hfin corrigée]])-MAX(1,test[[#This Row],[Hdébut corrigé]]))</f>
        <v>0</v>
      </c>
      <c r="H2" s="30">
        <f>MAX(0,(test[[#This Row],[Hfin corrigée]]-DebNuit-1))</f>
        <v>0</v>
      </c>
      <c r="I2" s="28"/>
      <c r="J2" s="28"/>
      <c r="K2" s="28"/>
      <c r="L2" s="28"/>
      <c r="M2" s="28"/>
      <c r="N2" s="28"/>
    </row>
    <row r="3" spans="1:14" x14ac:dyDescent="0.35">
      <c r="A3" s="29">
        <v>0.16666666666666666</v>
      </c>
      <c r="B3" s="29">
        <v>0.375</v>
      </c>
      <c r="C3" s="30">
        <f>MAX(0,(MIN(1,test[[#This Row],[Hfin corrigée]])-test[[#This Row],[Hdébut corrigé]])-test[[#This Row],[NUIT1.1]]-test[[#This Row],[NUIT1.2]])</f>
        <v>8.3333333333333315E-2</v>
      </c>
      <c r="D3" s="30">
        <f>MIN(FinNuit,MIN(1,test[[#This Row],[Hfin corrigée]]))-MIN(FinNuit,test[[#This Row],[Hdébut corrigé]])</f>
        <v>0.12500000000000003</v>
      </c>
      <c r="E3" s="30">
        <f>MAX(0,(MAX(0,(MIN(1,test[[#This Row],[Hfin corrigée]])-DebNuit))-MAX(0,(test[[#This Row],[Hdébut corrigé]]-DebNuit))))</f>
        <v>0</v>
      </c>
      <c r="F3" s="30">
        <f>MAX(0,test[[#This Row],[Hfin corrigée]]-MAX(1,test[[#This Row],[Hdébut corrigé]]))-test[[#This Row],[NUIT2.1]]-test[[#This Row],[NUIT2.2]]</f>
        <v>0</v>
      </c>
      <c r="G3" s="30">
        <f>MAX(0,MIN(1+FinNuit,test[[#This Row],[Hfin corrigée]])-MAX(1,test[[#This Row],[Hdébut corrigé]]))</f>
        <v>0</v>
      </c>
      <c r="H3" s="30">
        <f>MAX(0,(test[[#This Row],[Hfin corrigée]]-DebNuit-1))</f>
        <v>0</v>
      </c>
      <c r="I3" s="28"/>
      <c r="J3" s="28"/>
      <c r="K3" s="28"/>
      <c r="L3" s="28"/>
      <c r="M3" s="28"/>
      <c r="N3" s="28"/>
    </row>
    <row r="4" spans="1:14" x14ac:dyDescent="0.35">
      <c r="A4" s="29">
        <v>0.16666666666666666</v>
      </c>
      <c r="B4" s="29">
        <v>0.75</v>
      </c>
      <c r="C4" s="31">
        <f>MAX(0,(MIN(1,test[[#This Row],[Hfin corrigée]])-test[[#This Row],[Hdébut corrigé]])-test[[#This Row],[NUIT1.1]]-test[[#This Row],[NUIT1.2]])</f>
        <v>0.45833333333333337</v>
      </c>
      <c r="D4" s="31">
        <f>MIN(FinNuit,MIN(1,test[[#This Row],[Hfin corrigée]]))-MIN(FinNuit,test[[#This Row],[Hdébut corrigé]])</f>
        <v>0.12500000000000003</v>
      </c>
      <c r="E4" s="31">
        <f>MAX(0,(MAX(0,(MIN(1,test[[#This Row],[Hfin corrigée]])-DebNuit))-MAX(0,(test[[#This Row],[Hdébut corrigé]]-DebNuit))))</f>
        <v>0</v>
      </c>
      <c r="F4" s="31">
        <f>MAX(0,test[[#This Row],[Hfin corrigée]]-MAX(1,test[[#This Row],[Hdébut corrigé]]))-test[[#This Row],[NUIT2.1]]-test[[#This Row],[NUIT2.2]]</f>
        <v>0</v>
      </c>
      <c r="G4" s="31">
        <f>MAX(0,MIN(1+FinNuit,test[[#This Row],[Hfin corrigée]])-MAX(1,test[[#This Row],[Hdébut corrigé]]))</f>
        <v>0</v>
      </c>
      <c r="H4" s="31">
        <f>MAX(0,(test[[#This Row],[Hfin corrigée]]-DebNuit-1))</f>
        <v>0</v>
      </c>
    </row>
    <row r="5" spans="1:14" x14ac:dyDescent="0.35">
      <c r="A5" s="29">
        <v>0.33333333333333331</v>
      </c>
      <c r="B5" s="29">
        <v>0.95833333333333337</v>
      </c>
      <c r="C5" s="31">
        <f>MAX(0,(MIN(1,test[[#This Row],[Hfin corrigée]])-test[[#This Row],[Hdébut corrigé]])-test[[#This Row],[NUIT1.1]]-test[[#This Row],[NUIT1.2]])</f>
        <v>0.58333333333333326</v>
      </c>
      <c r="D5" s="31">
        <f>MIN(FinNuit,MIN(1,test[[#This Row],[Hfin corrigée]]))-MIN(FinNuit,test[[#This Row],[Hdébut corrigé]])</f>
        <v>0</v>
      </c>
      <c r="E5" s="31">
        <f>MAX(0,(MAX(0,(MIN(1,test[[#This Row],[Hfin corrigée]])-DebNuit))-MAX(0,(test[[#This Row],[Hdébut corrigé]]-DebNuit))))</f>
        <v>4.1666666666666741E-2</v>
      </c>
      <c r="F5" s="31">
        <f>MAX(0,test[[#This Row],[Hfin corrigée]]-MAX(1,test[[#This Row],[Hdébut corrigé]]))-test[[#This Row],[NUIT2.1]]-test[[#This Row],[NUIT2.2]]</f>
        <v>0</v>
      </c>
      <c r="G5" s="31">
        <f>MAX(0,MIN(1+FinNuit,test[[#This Row],[Hfin corrigée]])-MAX(1,test[[#This Row],[Hdébut corrigé]]))</f>
        <v>0</v>
      </c>
      <c r="H5" s="31">
        <f>MAX(0,(test[[#This Row],[Hfin corrigée]]-DebNuit-1))</f>
        <v>0</v>
      </c>
    </row>
    <row r="6" spans="1:14" x14ac:dyDescent="0.35">
      <c r="A6" s="29">
        <v>1.0416666666666667</v>
      </c>
      <c r="B6" s="29">
        <v>1.3333333333333333</v>
      </c>
      <c r="C6" s="31">
        <f>MAX(0,(MIN(1,test[[#This Row],[Hfin corrigée]])-test[[#This Row],[Hdébut corrigé]])-test[[#This Row],[NUIT1.1]]-test[[#This Row],[NUIT1.2]])</f>
        <v>0</v>
      </c>
      <c r="D6" s="31">
        <f>MIN(FinNuit,MIN(1,test[[#This Row],[Hfin corrigée]]))-MIN(FinNuit,test[[#This Row],[Hdébut corrigé]])</f>
        <v>0</v>
      </c>
      <c r="E6" s="31">
        <f>MAX(0,(MAX(0,(MIN(1,test[[#This Row],[Hfin corrigée]])-DebNuit))-MAX(0,(test[[#This Row],[Hdébut corrigé]]-DebNuit))))</f>
        <v>0</v>
      </c>
      <c r="F6" s="31">
        <f>MAX(0,test[[#This Row],[Hfin corrigée]]-MAX(1,test[[#This Row],[Hdébut corrigé]]))-test[[#This Row],[NUIT2.1]]-test[[#This Row],[NUIT2.2]]</f>
        <v>4.1666666666666519E-2</v>
      </c>
      <c r="G6" s="31">
        <f>MAX(0,MIN(1+FinNuit,test[[#This Row],[Hfin corrigée]])-MAX(1,test[[#This Row],[Hdébut corrigé]]))</f>
        <v>0.25</v>
      </c>
      <c r="H6" s="31">
        <f>MAX(0,(test[[#This Row],[Hfin corrigée]]-DebNuit-1))</f>
        <v>0</v>
      </c>
    </row>
    <row r="7" spans="1:14" x14ac:dyDescent="0.35">
      <c r="A7" s="29">
        <v>0.16666666666666666</v>
      </c>
      <c r="B7" s="29">
        <v>0.95833333333333337</v>
      </c>
      <c r="C7" s="31">
        <f>MAX(0,(MIN(1,test[[#This Row],[Hfin corrigée]])-test[[#This Row],[Hdébut corrigé]])-test[[#This Row],[NUIT1.1]]-test[[#This Row],[NUIT1.2]])</f>
        <v>0.625</v>
      </c>
      <c r="D7" s="31">
        <f>MIN(FinNuit,MIN(1,test[[#This Row],[Hfin corrigée]]))-MIN(FinNuit,test[[#This Row],[Hdébut corrigé]])</f>
        <v>0.12500000000000003</v>
      </c>
      <c r="E7" s="31">
        <f>MAX(0,(MAX(0,(MIN(1,test[[#This Row],[Hfin corrigée]])-DebNuit))-MAX(0,(test[[#This Row],[Hdébut corrigé]]-DebNuit))))</f>
        <v>4.1666666666666741E-2</v>
      </c>
      <c r="F7" s="31">
        <f>MAX(0,test[[#This Row],[Hfin corrigée]]-MAX(1,test[[#This Row],[Hdébut corrigé]]))-test[[#This Row],[NUIT2.1]]-test[[#This Row],[NUIT2.2]]</f>
        <v>0</v>
      </c>
      <c r="G7" s="31">
        <f>MAX(0,MIN(1+FinNuit,test[[#This Row],[Hfin corrigée]])-MAX(1,test[[#This Row],[Hdébut corrigé]]))</f>
        <v>0</v>
      </c>
      <c r="H7" s="31">
        <f>MAX(0,(test[[#This Row],[Hfin corrigée]]-DebNuit-1))</f>
        <v>0</v>
      </c>
    </row>
    <row r="8" spans="1:14" x14ac:dyDescent="0.35">
      <c r="A8" s="29">
        <v>0.5</v>
      </c>
      <c r="B8" s="29">
        <v>1.6666666666666667</v>
      </c>
      <c r="C8" s="31">
        <f>MAX(0,(MIN(1,test[[#This Row],[Hfin corrigée]])-test[[#This Row],[Hdébut corrigé]])-test[[#This Row],[NUIT1.1]]-test[[#This Row],[NUIT1.2]])</f>
        <v>0.41666666666666663</v>
      </c>
      <c r="D8" s="31">
        <f>MIN(FinNuit,MIN(1,test[[#This Row],[Hfin corrigée]]))-MIN(FinNuit,test[[#This Row],[Hdébut corrigé]])</f>
        <v>0</v>
      </c>
      <c r="E8" s="31">
        <f>MAX(0,(MAX(0,(MIN(1,test[[#This Row],[Hfin corrigée]])-DebNuit))-MAX(0,(test[[#This Row],[Hdébut corrigé]]-DebNuit))))</f>
        <v>8.333333333333337E-2</v>
      </c>
      <c r="F8" s="31">
        <f>MAX(0,test[[#This Row],[Hfin corrigée]]-MAX(1,test[[#This Row],[Hdébut corrigé]]))-test[[#This Row],[NUIT2.1]]-test[[#This Row],[NUIT2.2]]</f>
        <v>0.375</v>
      </c>
      <c r="G8" s="31">
        <f>MAX(0,MIN(1+FinNuit,test[[#This Row],[Hfin corrigée]])-MAX(1,test[[#This Row],[Hdébut corrigé]]))</f>
        <v>0.29166666666666674</v>
      </c>
      <c r="H8" s="31">
        <f>MAX(0,(test[[#This Row],[Hfin corrigée]]-DebNuit-1))</f>
        <v>0</v>
      </c>
    </row>
    <row r="9" spans="1:14" x14ac:dyDescent="0.35">
      <c r="A9" s="29">
        <v>0</v>
      </c>
      <c r="B9" s="29">
        <v>2</v>
      </c>
      <c r="C9" s="31">
        <f>MAX(0,(MIN(1,test[[#This Row],[Hfin corrigée]])-test[[#This Row],[Hdébut corrigé]])-test[[#This Row],[NUIT1.1]]-test[[#This Row],[NUIT1.2]])</f>
        <v>0.62499999999999989</v>
      </c>
      <c r="D9" s="31">
        <f>MIN(FinNuit,MIN(1,test[[#This Row],[Hfin corrigée]]))-MIN(FinNuit,test[[#This Row],[Hdébut corrigé]])</f>
        <v>0.29166666666666669</v>
      </c>
      <c r="E9" s="31">
        <f>MAX(0,(MAX(0,(MIN(1,test[[#This Row],[Hfin corrigée]])-DebNuit))-MAX(0,(test[[#This Row],[Hdébut corrigé]]-DebNuit))))</f>
        <v>8.333333333333337E-2</v>
      </c>
      <c r="F9" s="31">
        <f>MAX(0,test[[#This Row],[Hfin corrigée]]-MAX(1,test[[#This Row],[Hdébut corrigé]]))-test[[#This Row],[NUIT2.1]]-test[[#This Row],[NUIT2.2]]</f>
        <v>0.62499999999999978</v>
      </c>
      <c r="G9" s="31">
        <f>MAX(0,MIN(1+FinNuit,test[[#This Row],[Hfin corrigée]])-MAX(1,test[[#This Row],[Hdébut corrigé]]))</f>
        <v>0.29166666666666674</v>
      </c>
      <c r="H9" s="31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showZeros="0" tabSelected="1" workbookViewId="0">
      <selection activeCell="G14" sqref="G14"/>
    </sheetView>
  </sheetViews>
  <sheetFormatPr baseColWidth="10" defaultRowHeight="14.5" x14ac:dyDescent="0.35"/>
  <cols>
    <col min="3" max="6" width="16.36328125" customWidth="1"/>
    <col min="7" max="7" width="17.26953125" customWidth="1"/>
  </cols>
  <sheetData>
    <row r="1" spans="1:7" ht="29" x14ac:dyDescent="0.35">
      <c r="A1" s="60" t="s">
        <v>48</v>
      </c>
      <c r="B1" s="61" t="s">
        <v>49</v>
      </c>
      <c r="C1" s="61" t="s">
        <v>15</v>
      </c>
      <c r="D1" s="61" t="s">
        <v>18</v>
      </c>
      <c r="E1" s="61" t="s">
        <v>16</v>
      </c>
      <c r="F1" s="62" t="s">
        <v>17</v>
      </c>
      <c r="G1" s="61" t="s">
        <v>50</v>
      </c>
    </row>
    <row r="2" spans="1:7" x14ac:dyDescent="0.35">
      <c r="A2" s="58">
        <v>2018</v>
      </c>
      <c r="B2" s="57">
        <f>DATE($A$2,ROW()-1,1)</f>
        <v>43101</v>
      </c>
      <c r="C2" s="59">
        <f>ROUNDUP(SUMPRODUCT(data[Durée sans interv.]*(data[Date]&gt;=B2)*(data[Date]&lt;=EOMONTH(B2,0)))*4*24,0)/4/24</f>
        <v>0.57291666666666663</v>
      </c>
      <c r="D2" s="59">
        <f>ROUNDUP(SUMPRODUCT(data[Durée interv. jour]*(data[Date]&gt;=B2)*(data[Date]&lt;=EOMONTH(B2,0)))*4*24,0)/4/24</f>
        <v>0</v>
      </c>
      <c r="E2" s="59">
        <f>ROUNDUP(SUMPRODUCT(data[Durée interv. dim ou férié]*(data[Date]&gt;=B2)*(data[Date]&lt;=EOMONTH(B2,0)))*4*24,0)/4/24</f>
        <v>0.4375</v>
      </c>
      <c r="F2" s="59">
        <f>ROUNDUP(SUMPRODUCT(data[Durée interv. nuit]*(data[Date]&gt;=B2)*(data[Date]&lt;=EOMONTH(B2,0)))*4*24,0)/4/24</f>
        <v>0</v>
      </c>
      <c r="G2" s="56">
        <f>24*(TAUX1*C2+TAUX2*D2+TAUX3*E2+TAUX4*F2)</f>
        <v>93.75</v>
      </c>
    </row>
    <row r="3" spans="1:7" x14ac:dyDescent="0.35">
      <c r="B3" s="57">
        <f t="shared" ref="B3:B13" si="0">DATE($A$2,ROW()-1,1)</f>
        <v>43132</v>
      </c>
      <c r="C3" s="59">
        <f>ROUNDUP(SUMPRODUCT(data[Durée sans interv.]*(data[Date]&gt;=B3)*(data[Date]&lt;=EOMONTH(B3,0)))*4*24,0)/4/24</f>
        <v>0</v>
      </c>
      <c r="D3" s="59">
        <f>ROUNDUP(SUMPRODUCT(data[Durée interv. jour]*(data[Date]&gt;=B3)*(data[Date]&lt;=EOMONTH(B3,0)))*4*24,0)/4/24</f>
        <v>0</v>
      </c>
      <c r="E3" s="59">
        <f>ROUNDUP(SUMPRODUCT(data[Durée interv. dim ou férié]*(data[Date]&gt;=B3)*(data[Date]&lt;=EOMONTH(B3,0)))*4*24,0)/4/24</f>
        <v>0</v>
      </c>
      <c r="F3" s="59">
        <f>ROUNDUP(SUMPRODUCT(data[Durée interv. nuit]*(data[Date]&gt;=B3)*(data[Date]&lt;=EOMONTH(B3,0)))*4*24,0)/4/24</f>
        <v>0</v>
      </c>
      <c r="G3" s="56">
        <f>24*(TAUX1*C3+TAUX2*D3+TAUX3*E3+TAUX4*F3)</f>
        <v>0</v>
      </c>
    </row>
    <row r="4" spans="1:7" x14ac:dyDescent="0.35">
      <c r="B4" s="57">
        <f t="shared" si="0"/>
        <v>43160</v>
      </c>
      <c r="C4" s="59">
        <f>ROUNDUP(SUMPRODUCT(data[Durée sans interv.]*(data[Date]&gt;=B4)*(data[Date]&lt;=EOMONTH(B4,0)))*4*24,0)/4/24</f>
        <v>0</v>
      </c>
      <c r="D4" s="59">
        <f>ROUNDUP(SUMPRODUCT(data[Durée interv. jour]*(data[Date]&gt;=B4)*(data[Date]&lt;=EOMONTH(B4,0)))*4*24,0)/4/24</f>
        <v>0</v>
      </c>
      <c r="E4" s="59">
        <f>ROUNDUP(SUMPRODUCT(data[Durée interv. dim ou férié]*(data[Date]&gt;=B4)*(data[Date]&lt;=EOMONTH(B4,0)))*4*24,0)/4/24</f>
        <v>0</v>
      </c>
      <c r="F4" s="59">
        <f>ROUNDUP(SUMPRODUCT(data[Durée interv. nuit]*(data[Date]&gt;=B4)*(data[Date]&lt;=EOMONTH(B4,0)))*4*24,0)/4/24</f>
        <v>0</v>
      </c>
      <c r="G4" s="56">
        <f>24*(TAUX1*C4+TAUX2*D4+TAUX3*E4+TAUX4*F4)</f>
        <v>0</v>
      </c>
    </row>
    <row r="5" spans="1:7" x14ac:dyDescent="0.35">
      <c r="B5" s="57">
        <f t="shared" si="0"/>
        <v>43191</v>
      </c>
      <c r="C5" s="59">
        <f>ROUNDUP(SUMPRODUCT(data[Durée sans interv.]*(data[Date]&gt;=B5)*(data[Date]&lt;=EOMONTH(B5,0)))*4*24,0)/4/24</f>
        <v>0</v>
      </c>
      <c r="D5" s="59">
        <f>ROUNDUP(SUMPRODUCT(data[Durée interv. jour]*(data[Date]&gt;=B5)*(data[Date]&lt;=EOMONTH(B5,0)))*4*24,0)/4/24</f>
        <v>0</v>
      </c>
      <c r="E5" s="59">
        <f>ROUNDUP(SUMPRODUCT(data[Durée interv. dim ou férié]*(data[Date]&gt;=B5)*(data[Date]&lt;=EOMONTH(B5,0)))*4*24,0)/4/24</f>
        <v>0</v>
      </c>
      <c r="F5" s="59">
        <f>ROUNDUP(SUMPRODUCT(data[Durée interv. nuit]*(data[Date]&gt;=B5)*(data[Date]&lt;=EOMONTH(B5,0)))*4*24,0)/4/24</f>
        <v>0</v>
      </c>
      <c r="G5" s="56">
        <f>24*(TAUX1*C5+TAUX2*D5+TAUX3*E5+TAUX4*F5)</f>
        <v>0</v>
      </c>
    </row>
    <row r="6" spans="1:7" x14ac:dyDescent="0.35">
      <c r="B6" s="57">
        <f t="shared" si="0"/>
        <v>43221</v>
      </c>
      <c r="C6" s="59">
        <f>ROUNDUP(SUMPRODUCT(data[Durée sans interv.]*(data[Date]&gt;=B6)*(data[Date]&lt;=EOMONTH(B6,0)))*4*24,0)/4/24</f>
        <v>0.54166666666666663</v>
      </c>
      <c r="D6" s="59">
        <f>ROUNDUP(SUMPRODUCT(data[Durée interv. jour]*(data[Date]&gt;=B6)*(data[Date]&lt;=EOMONTH(B6,0)))*4*24,0)/4/24</f>
        <v>0.17708333333333334</v>
      </c>
      <c r="E6" s="59">
        <f>ROUNDUP(SUMPRODUCT(data[Durée interv. dim ou férié]*(data[Date]&gt;=B6)*(data[Date]&lt;=EOMONTH(B6,0)))*4*24,0)/4/24</f>
        <v>0</v>
      </c>
      <c r="F6" s="59">
        <f>ROUNDUP(SUMPRODUCT(data[Durée interv. nuit]*(data[Date]&gt;=B6)*(data[Date]&lt;=EOMONTH(B6,0)))*4*24,0)/4/24</f>
        <v>0.13541666666666666</v>
      </c>
      <c r="G6" s="56">
        <f>24*(TAUX1*C6+TAUX2*D6+TAUX3*E6+TAUX4*F6)</f>
        <v>75.5</v>
      </c>
    </row>
    <row r="7" spans="1:7" x14ac:dyDescent="0.35">
      <c r="B7" s="57">
        <f t="shared" si="0"/>
        <v>43252</v>
      </c>
      <c r="C7" s="59">
        <f>ROUNDUP(SUMPRODUCT(data[Durée sans interv.]*(data[Date]&gt;=B7)*(data[Date]&lt;=EOMONTH(B7,0)))*4*24,0)/4/24</f>
        <v>0.28125</v>
      </c>
      <c r="D7" s="59">
        <f>ROUNDUP(SUMPRODUCT(data[Durée interv. jour]*(data[Date]&gt;=B7)*(data[Date]&lt;=EOMONTH(B7,0)))*4*24,0)/4/24</f>
        <v>0.51041666666666663</v>
      </c>
      <c r="E7" s="59">
        <f>ROUNDUP(SUMPRODUCT(data[Durée interv. dim ou férié]*(data[Date]&gt;=B7)*(data[Date]&lt;=EOMONTH(B7,0)))*4*24,0)/4/24</f>
        <v>0</v>
      </c>
      <c r="F7" s="59">
        <f>ROUNDUP(SUMPRODUCT(data[Durée interv. nuit]*(data[Date]&gt;=B7)*(data[Date]&lt;=EOMONTH(B7,0)))*4*24,0)/4/24</f>
        <v>0.22916666666666666</v>
      </c>
      <c r="G7" s="56">
        <f>24*(TAUX1*C7+TAUX2*D7+TAUX3*E7+TAUX4*F7)</f>
        <v>102.24999999999999</v>
      </c>
    </row>
    <row r="8" spans="1:7" x14ac:dyDescent="0.35">
      <c r="B8" s="57">
        <f t="shared" si="0"/>
        <v>43282</v>
      </c>
      <c r="C8" s="59">
        <f>ROUNDUP(SUMPRODUCT(data[Durée sans interv.]*(data[Date]&gt;=B8)*(data[Date]&lt;=EOMONTH(B8,0)))*4*24,0)/4/24</f>
        <v>0.625</v>
      </c>
      <c r="D8" s="59">
        <f>ROUNDUP(SUMPRODUCT(data[Durée interv. jour]*(data[Date]&gt;=B8)*(data[Date]&lt;=EOMONTH(B8,0)))*4*24,0)/4/24</f>
        <v>0</v>
      </c>
      <c r="E8" s="59">
        <f>ROUNDUP(SUMPRODUCT(data[Durée interv. dim ou férié]*(data[Date]&gt;=B8)*(data[Date]&lt;=EOMONTH(B8,0)))*4*24,0)/4/24</f>
        <v>0.30208333333333331</v>
      </c>
      <c r="F8" s="59">
        <f>ROUNDUP(SUMPRODUCT(data[Durée interv. nuit]*(data[Date]&gt;=B8)*(data[Date]&lt;=EOMONTH(B8,0)))*4*24,0)/4/24</f>
        <v>8.3333333333333329E-2</v>
      </c>
      <c r="G8" s="56">
        <f>24*(TAUX1*C8+TAUX2*D8+TAUX3*E8+TAUX4*F8)</f>
        <v>93.25</v>
      </c>
    </row>
    <row r="9" spans="1:7" x14ac:dyDescent="0.35">
      <c r="B9" s="57">
        <f t="shared" si="0"/>
        <v>43313</v>
      </c>
      <c r="C9" s="59">
        <f>ROUNDUP(SUMPRODUCT(data[Durée sans interv.]*(data[Date]&gt;=B9)*(data[Date]&lt;=EOMONTH(B9,0)))*4*24,0)/4/24</f>
        <v>0</v>
      </c>
      <c r="D9" s="59">
        <f>ROUNDUP(SUMPRODUCT(data[Durée interv. jour]*(data[Date]&gt;=B9)*(data[Date]&lt;=EOMONTH(B9,0)))*4*24,0)/4/24</f>
        <v>0</v>
      </c>
      <c r="E9" s="59">
        <f>ROUNDUP(SUMPRODUCT(data[Durée interv. dim ou férié]*(data[Date]&gt;=B9)*(data[Date]&lt;=EOMONTH(B9,0)))*4*24,0)/4/24</f>
        <v>0</v>
      </c>
      <c r="F9" s="59">
        <f>ROUNDUP(SUMPRODUCT(data[Durée interv. nuit]*(data[Date]&gt;=B9)*(data[Date]&lt;=EOMONTH(B9,0)))*4*24,0)/4/24</f>
        <v>0</v>
      </c>
      <c r="G9" s="56">
        <f>24*(TAUX1*C9+TAUX2*D9+TAUX3*E9+TAUX4*F9)</f>
        <v>0</v>
      </c>
    </row>
    <row r="10" spans="1:7" x14ac:dyDescent="0.35">
      <c r="B10" s="57">
        <f t="shared" si="0"/>
        <v>43344</v>
      </c>
      <c r="C10" s="59">
        <f>ROUNDUP(SUMPRODUCT(data[Durée sans interv.]*(data[Date]&gt;=B10)*(data[Date]&lt;=EOMONTH(B10,0)))*4*24,0)/4/24</f>
        <v>0</v>
      </c>
      <c r="D10" s="59">
        <f>ROUNDUP(SUMPRODUCT(data[Durée interv. jour]*(data[Date]&gt;=B10)*(data[Date]&lt;=EOMONTH(B10,0)))*4*24,0)/4/24</f>
        <v>0</v>
      </c>
      <c r="E10" s="59">
        <f>ROUNDUP(SUMPRODUCT(data[Durée interv. dim ou férié]*(data[Date]&gt;=B10)*(data[Date]&lt;=EOMONTH(B10,0)))*4*24,0)/4/24</f>
        <v>0</v>
      </c>
      <c r="F10" s="59">
        <f>ROUNDUP(SUMPRODUCT(data[Durée interv. nuit]*(data[Date]&gt;=B10)*(data[Date]&lt;=EOMONTH(B10,0)))*4*24,0)/4/24</f>
        <v>0</v>
      </c>
      <c r="G10" s="56">
        <f>24*(TAUX1*C10+TAUX2*D10+TAUX3*E10+TAUX4*F10)</f>
        <v>0</v>
      </c>
    </row>
    <row r="11" spans="1:7" x14ac:dyDescent="0.35">
      <c r="B11" s="57">
        <f t="shared" si="0"/>
        <v>43374</v>
      </c>
      <c r="C11" s="59">
        <f>ROUNDUP(SUMPRODUCT(data[Durée sans interv.]*(data[Date]&gt;=B11)*(data[Date]&lt;=EOMONTH(B11,0)))*4*24,0)/4/24</f>
        <v>0</v>
      </c>
      <c r="D11" s="59">
        <f>ROUNDUP(SUMPRODUCT(data[Durée interv. jour]*(data[Date]&gt;=B11)*(data[Date]&lt;=EOMONTH(B11,0)))*4*24,0)/4/24</f>
        <v>0</v>
      </c>
      <c r="E11" s="59">
        <f>ROUNDUP(SUMPRODUCT(data[Durée interv. dim ou férié]*(data[Date]&gt;=B11)*(data[Date]&lt;=EOMONTH(B11,0)))*4*24,0)/4/24</f>
        <v>0</v>
      </c>
      <c r="F11" s="59">
        <f>ROUNDUP(SUMPRODUCT(data[Durée interv. nuit]*(data[Date]&gt;=B11)*(data[Date]&lt;=EOMONTH(B11,0)))*4*24,0)/4/24</f>
        <v>0</v>
      </c>
      <c r="G11" s="56">
        <f>24*(TAUX1*C11+TAUX2*D11+TAUX3*E11+TAUX4*F11)</f>
        <v>0</v>
      </c>
    </row>
    <row r="12" spans="1:7" x14ac:dyDescent="0.35">
      <c r="B12" s="57">
        <f t="shared" si="0"/>
        <v>43405</v>
      </c>
      <c r="C12" s="59">
        <f>ROUNDUP(SUMPRODUCT(data[Durée sans interv.]*(data[Date]&gt;=B12)*(data[Date]&lt;=EOMONTH(B12,0)))*4*24,0)/4/24</f>
        <v>0</v>
      </c>
      <c r="D12" s="59">
        <f>ROUNDUP(SUMPRODUCT(data[Durée interv. jour]*(data[Date]&gt;=B12)*(data[Date]&lt;=EOMONTH(B12,0)))*4*24,0)/4/24</f>
        <v>0</v>
      </c>
      <c r="E12" s="59">
        <f>ROUNDUP(SUMPRODUCT(data[Durée interv. dim ou férié]*(data[Date]&gt;=B12)*(data[Date]&lt;=EOMONTH(B12,0)))*4*24,0)/4/24</f>
        <v>0</v>
      </c>
      <c r="F12" s="59">
        <f>ROUNDUP(SUMPRODUCT(data[Durée interv. nuit]*(data[Date]&gt;=B12)*(data[Date]&lt;=EOMONTH(B12,0)))*4*24,0)/4/24</f>
        <v>0</v>
      </c>
      <c r="G12" s="56">
        <f>24*(TAUX1*C12+TAUX2*D12+TAUX3*E12+TAUX4*F12)</f>
        <v>0</v>
      </c>
    </row>
    <row r="13" spans="1:7" x14ac:dyDescent="0.35">
      <c r="B13" s="57">
        <f t="shared" si="0"/>
        <v>43435</v>
      </c>
      <c r="C13" s="59">
        <f>ROUNDUP(SUMPRODUCT(data[Durée sans interv.]*(data[Date]&gt;=B13)*(data[Date]&lt;=EOMONTH(B13,0)))*4*24,0)/4/24</f>
        <v>0</v>
      </c>
      <c r="D13" s="59">
        <f>ROUNDUP(SUMPRODUCT(data[Durée interv. jour]*(data[Date]&gt;=B13)*(data[Date]&lt;=EOMONTH(B13,0)))*4*24,0)/4/24</f>
        <v>0</v>
      </c>
      <c r="E13" s="59">
        <f>ROUNDUP(SUMPRODUCT(data[Durée interv. dim ou férié]*(data[Date]&gt;=B13)*(data[Date]&lt;=EOMONTH(B13,0)))*4*24,0)/4/24</f>
        <v>0</v>
      </c>
      <c r="F13" s="59">
        <f>ROUNDUP(SUMPRODUCT(data[Durée interv. nuit]*(data[Date]&gt;=B13)*(data[Date]&lt;=EOMONTH(B13,0)))*4*24,0)/4/24</f>
        <v>0</v>
      </c>
      <c r="G13" s="56">
        <f>24*(TAUX1*C13+TAUX2*D13+TAUX3*E13+TAUX4*F13)</f>
        <v>0</v>
      </c>
    </row>
    <row r="14" spans="1:7" x14ac:dyDescent="0.35">
      <c r="B14" s="63" t="s">
        <v>47</v>
      </c>
      <c r="C14" s="64">
        <f>SUM(C2:C13)</f>
        <v>2.020833333333333</v>
      </c>
      <c r="D14" s="64">
        <f t="shared" ref="D14:F14" si="1">SUM(D2:D13)</f>
        <v>0.6875</v>
      </c>
      <c r="E14" s="64">
        <f t="shared" si="1"/>
        <v>0.73958333333333326</v>
      </c>
      <c r="F14" s="64">
        <f t="shared" si="1"/>
        <v>0.44791666666666663</v>
      </c>
      <c r="G14" s="65">
        <f>SUM(G2:G13)</f>
        <v>364.75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B9" sqref="B9"/>
    </sheetView>
  </sheetViews>
  <sheetFormatPr baseColWidth="10" defaultRowHeight="14.5" x14ac:dyDescent="0.35"/>
  <cols>
    <col min="1" max="1" width="18.36328125" bestFit="1" customWidth="1"/>
  </cols>
  <sheetData>
    <row r="1" spans="1:17" s="18" customFormat="1" x14ac:dyDescent="0.35">
      <c r="A1" s="16" t="s">
        <v>11</v>
      </c>
      <c r="B1" s="17">
        <v>2018</v>
      </c>
      <c r="C1" s="17">
        <v>2019</v>
      </c>
      <c r="D1" s="17">
        <v>2020</v>
      </c>
      <c r="E1" s="17">
        <v>2021</v>
      </c>
      <c r="F1" s="17">
        <v>2022</v>
      </c>
      <c r="G1" s="17">
        <v>2023</v>
      </c>
      <c r="H1" s="17">
        <v>2024</v>
      </c>
      <c r="I1" s="17">
        <v>2025</v>
      </c>
      <c r="J1" s="17">
        <v>2026</v>
      </c>
      <c r="K1" s="17">
        <v>2027</v>
      </c>
      <c r="L1" s="17">
        <v>2028</v>
      </c>
      <c r="M1" s="17">
        <v>2029</v>
      </c>
      <c r="N1" s="17">
        <v>2030</v>
      </c>
      <c r="O1" s="17">
        <v>2031</v>
      </c>
      <c r="P1" s="17">
        <v>2032</v>
      </c>
      <c r="Q1" s="17">
        <v>2033</v>
      </c>
    </row>
    <row r="2" spans="1:17" x14ac:dyDescent="0.35">
      <c r="A2" s="1" t="s">
        <v>36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5">
      <c r="A3" s="1" t="s">
        <v>37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5">
      <c r="A4" s="1" t="s">
        <v>7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5">
      <c r="A5" s="1" t="s">
        <v>38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5">
      <c r="A6" s="1" t="s">
        <v>39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5">
      <c r="A7" s="1" t="s">
        <v>40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5">
      <c r="A8" s="1" t="s">
        <v>41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5">
      <c r="A9" s="1" t="s">
        <v>42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5">
      <c r="A10" s="1" t="s">
        <v>8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5">
      <c r="A11" s="1" t="s">
        <v>43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5">
      <c r="A12" s="1" t="s">
        <v>9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5">
      <c r="A13" s="1" t="s">
        <v>10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9" sqref="A9:XFD10"/>
    </sheetView>
  </sheetViews>
  <sheetFormatPr baseColWidth="10" defaultColWidth="10.90625" defaultRowHeight="14.5" x14ac:dyDescent="0.35"/>
  <cols>
    <col min="1" max="1" width="21.36328125" style="7" bestFit="1" customWidth="1"/>
    <col min="2" max="2" width="10.90625" style="14"/>
    <col min="3" max="16384" width="10.90625" style="7"/>
  </cols>
  <sheetData>
    <row r="1" spans="1:2" x14ac:dyDescent="0.35">
      <c r="A1" s="8" t="s">
        <v>29</v>
      </c>
      <c r="B1" s="13">
        <v>0.29166666666666669</v>
      </c>
    </row>
    <row r="2" spans="1:2" x14ac:dyDescent="0.35">
      <c r="A2" s="8" t="s">
        <v>30</v>
      </c>
      <c r="B2" s="13">
        <v>0.91666666666666663</v>
      </c>
    </row>
    <row r="4" spans="1:2" x14ac:dyDescent="0.35">
      <c r="A4" s="8" t="s">
        <v>31</v>
      </c>
      <c r="B4" s="15">
        <v>3</v>
      </c>
    </row>
    <row r="5" spans="1:2" x14ac:dyDescent="0.35">
      <c r="A5" s="8" t="s">
        <v>32</v>
      </c>
      <c r="B5" s="15">
        <v>4</v>
      </c>
    </row>
    <row r="6" spans="1:2" x14ac:dyDescent="0.35">
      <c r="A6" s="8" t="s">
        <v>33</v>
      </c>
      <c r="B6" s="15">
        <v>5</v>
      </c>
    </row>
    <row r="7" spans="1:2" x14ac:dyDescent="0.35">
      <c r="A7" s="8" t="s">
        <v>34</v>
      </c>
      <c r="B7" s="15">
        <v>6</v>
      </c>
    </row>
    <row r="9" spans="1:2" x14ac:dyDescent="0.35">
      <c r="A9" s="9" t="s">
        <v>28</v>
      </c>
      <c r="B9" s="12" t="s">
        <v>3</v>
      </c>
    </row>
    <row r="10" spans="1:2" x14ac:dyDescent="0.35">
      <c r="A10" s="10"/>
      <c r="B10" s="12" t="s">
        <v>5</v>
      </c>
    </row>
    <row r="11" spans="1:2" x14ac:dyDescent="0.35">
      <c r="A11" s="10"/>
      <c r="B11" s="12" t="s">
        <v>4</v>
      </c>
    </row>
    <row r="12" spans="1:2" x14ac:dyDescent="0.35">
      <c r="A12" s="10"/>
      <c r="B12" s="12" t="s">
        <v>6</v>
      </c>
    </row>
    <row r="13" spans="1:2" x14ac:dyDescent="0.35">
      <c r="A13" s="10"/>
      <c r="B13" s="12"/>
    </row>
    <row r="14" spans="1:2" x14ac:dyDescent="0.35">
      <c r="A14" s="11"/>
      <c r="B1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Données</vt:lpstr>
      <vt:lpstr>Test sur jour nuit</vt:lpstr>
      <vt:lpstr>Calcul indemnités mensuelles</vt:lpstr>
      <vt:lpstr>Jours Fériés</vt:lpstr>
      <vt:lpstr>Paramètres</vt:lpstr>
      <vt:lpstr>DebNuit</vt:lpstr>
      <vt:lpstr>FinNuit</vt:lpstr>
      <vt:lpstr>JF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2018-06-03T04:39:37Z</dcterms:modified>
</cp:coreProperties>
</file>