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030" tabRatio="715" activeTab="3"/>
  </bookViews>
  <sheets>
    <sheet name="Données" sheetId="3" r:id="rId1"/>
    <sheet name="Test sur jour nuit" sheetId="7" state="hidden" r:id="rId2"/>
    <sheet name="Synthèse" sheetId="6" r:id="rId3"/>
    <sheet name="Calcul indemnités mensuelles" sheetId="8" r:id="rId4"/>
    <sheet name="Jours Fériés" sheetId="5" r:id="rId5"/>
    <sheet name="Paramètres" sheetId="2" r:id="rId6"/>
  </sheets>
  <definedNames>
    <definedName name="DebNuit">Paramètres!$B$2</definedName>
    <definedName name="FinNuit">Paramètres!$B$1</definedName>
    <definedName name="JF">'Jours Fériés'!$B$2:$Q$13</definedName>
    <definedName name="TAUX1">Paramètres!$B$4</definedName>
    <definedName name="TAUX2">Paramètres!$B$5</definedName>
    <definedName name="TAUX3">Paramètres!$B$6</definedName>
    <definedName name="TAUX4">Paramètres!$B$7</definedName>
    <definedName name="véhicule">Paramètres!$B$9:$B$14</definedName>
  </definedNames>
  <calcPr calcId="152511"/>
  <pivotCaches>
    <pivotCache cacheId="2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8" l="1"/>
  <c r="B2" i="8" l="1"/>
  <c r="B13" i="8"/>
  <c r="B3" i="8"/>
  <c r="B4" i="8"/>
  <c r="B5" i="8"/>
  <c r="B6" i="8"/>
  <c r="B7" i="8"/>
  <c r="B8" i="8"/>
  <c r="B9" i="8"/>
  <c r="B10" i="8"/>
  <c r="B11" i="8"/>
  <c r="B12" i="8"/>
  <c r="C3" i="8"/>
  <c r="C7" i="8"/>
  <c r="C11" i="8"/>
  <c r="C9" i="8"/>
  <c r="C6" i="8"/>
  <c r="C4" i="8"/>
  <c r="C8" i="8"/>
  <c r="C12" i="8"/>
  <c r="C5" i="8"/>
  <c r="C13" i="8"/>
  <c r="C10" i="8"/>
  <c r="C2" i="8"/>
  <c r="I6" i="3" l="1"/>
  <c r="I8" i="3"/>
  <c r="I7" i="3"/>
  <c r="I9" i="3"/>
  <c r="I11" i="3"/>
  <c r="I10" i="3"/>
  <c r="I2" i="3"/>
  <c r="I3" i="3"/>
  <c r="I4" i="3"/>
  <c r="I5" i="3"/>
  <c r="I12" i="3"/>
  <c r="I13" i="3"/>
  <c r="I14" i="3"/>
  <c r="G2" i="7" l="1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M6" i="3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R9" i="3" l="1"/>
  <c r="R12" i="3"/>
  <c r="R2" i="3"/>
  <c r="R6" i="3"/>
  <c r="C3" i="7"/>
  <c r="C2" i="7"/>
  <c r="H6" i="3"/>
  <c r="H8" i="3"/>
  <c r="H7" i="3"/>
  <c r="H9" i="3"/>
  <c r="H11" i="3"/>
  <c r="H10" i="3"/>
  <c r="H2" i="3"/>
  <c r="H3" i="3"/>
  <c r="H4" i="3"/>
  <c r="H5" i="3"/>
  <c r="H12" i="3"/>
  <c r="H13" i="3"/>
  <c r="H14" i="3"/>
  <c r="J8" i="3"/>
  <c r="J6" i="3"/>
  <c r="J9" i="3"/>
  <c r="J2" i="3"/>
  <c r="J12" i="3"/>
  <c r="J13" i="3" l="1"/>
  <c r="Q2" i="3"/>
  <c r="P2" i="3" s="1"/>
  <c r="J7" i="3"/>
  <c r="J3" i="3"/>
  <c r="T3" i="3" s="1"/>
  <c r="J5" i="3"/>
  <c r="Q9" i="3"/>
  <c r="P9" i="3" s="1"/>
  <c r="J14" i="3"/>
  <c r="J4" i="3"/>
  <c r="J11" i="3"/>
  <c r="Q6" i="3"/>
  <c r="P6" i="3" s="1"/>
  <c r="Q12" i="3"/>
  <c r="P12" i="3" s="1"/>
  <c r="N6" i="3"/>
  <c r="L6" i="3" s="1"/>
  <c r="J10" i="3"/>
  <c r="U12" i="3"/>
  <c r="M12" i="3"/>
  <c r="T13" i="3"/>
  <c r="M2" i="3"/>
  <c r="W2" i="3"/>
  <c r="N14" i="3" l="1"/>
  <c r="M13" i="3"/>
  <c r="N4" i="3"/>
  <c r="N5" i="3"/>
  <c r="N2" i="3"/>
  <c r="L2" i="3" s="1"/>
  <c r="N13" i="3"/>
  <c r="N3" i="3"/>
  <c r="N12" i="3"/>
  <c r="L12" i="3" s="1"/>
  <c r="M5" i="3"/>
  <c r="V12" i="3"/>
  <c r="S12" i="3"/>
  <c r="T14" i="3"/>
  <c r="W12" i="3"/>
  <c r="M3" i="3"/>
  <c r="T5" i="3"/>
  <c r="S2" i="3"/>
  <c r="U2" i="3"/>
  <c r="V2" i="3"/>
  <c r="T4" i="3"/>
  <c r="M4" i="3" l="1"/>
  <c r="L4" i="3" s="1"/>
  <c r="R14" i="3"/>
  <c r="Q14" i="3"/>
  <c r="P14" i="3" s="1"/>
  <c r="M14" i="3"/>
  <c r="W14" i="3" s="1"/>
  <c r="R5" i="3"/>
  <c r="Q5" i="3"/>
  <c r="R8" i="3"/>
  <c r="Q8" i="3"/>
  <c r="P8" i="3" s="1"/>
  <c r="R10" i="3"/>
  <c r="Q10" i="3"/>
  <c r="R3" i="3"/>
  <c r="Q3" i="3"/>
  <c r="W3" i="3" s="1"/>
  <c r="R4" i="3"/>
  <c r="Q4" i="3"/>
  <c r="R13" i="3"/>
  <c r="Q13" i="3"/>
  <c r="R7" i="3"/>
  <c r="Q7" i="3"/>
  <c r="R11" i="3"/>
  <c r="Q11" i="3"/>
  <c r="L5" i="3"/>
  <c r="L13" i="3"/>
  <c r="L3" i="3"/>
  <c r="P7" i="3" l="1"/>
  <c r="P5" i="3"/>
  <c r="L14" i="3"/>
  <c r="P10" i="3"/>
  <c r="W4" i="3"/>
  <c r="P13" i="3"/>
  <c r="P3" i="3"/>
  <c r="W13" i="3"/>
  <c r="W5" i="3"/>
  <c r="P4" i="3"/>
  <c r="P11" i="3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G3" i="5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F4" i="5"/>
  <c r="G4" i="5"/>
  <c r="N4" i="5"/>
  <c r="O4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F7" i="5"/>
  <c r="G7" i="5"/>
  <c r="J7" i="5"/>
  <c r="K7" i="5"/>
  <c r="F8" i="5"/>
  <c r="G8" i="5"/>
  <c r="H8" i="5"/>
  <c r="J8" i="5"/>
  <c r="N8" i="5"/>
  <c r="O8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K4" i="5" l="1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B8" i="5" l="1"/>
  <c r="B4" i="5"/>
  <c r="O4" i="3" s="1"/>
  <c r="B7" i="5"/>
  <c r="K14" i="3" l="1"/>
  <c r="O5" i="3"/>
  <c r="O12" i="3"/>
  <c r="K3" i="3"/>
  <c r="K4" i="3"/>
  <c r="U4" i="3" s="1"/>
  <c r="K13" i="3"/>
  <c r="O2" i="3"/>
  <c r="O14" i="3"/>
  <c r="K2" i="3"/>
  <c r="K5" i="3"/>
  <c r="O3" i="3"/>
  <c r="O13" i="3"/>
  <c r="K12" i="3"/>
  <c r="K6" i="3"/>
  <c r="K8" i="3"/>
  <c r="K7" i="3"/>
  <c r="K9" i="3"/>
  <c r="K11" i="3"/>
  <c r="K10" i="3"/>
  <c r="V4" i="3" l="1"/>
  <c r="O9" i="3"/>
  <c r="N9" i="3"/>
  <c r="O10" i="3"/>
  <c r="N10" i="3"/>
  <c r="O8" i="3"/>
  <c r="N8" i="3"/>
  <c r="V3" i="3"/>
  <c r="U3" i="3"/>
  <c r="O7" i="3"/>
  <c r="N7" i="3"/>
  <c r="O11" i="3"/>
  <c r="N11" i="3"/>
  <c r="O6" i="3"/>
  <c r="U13" i="3"/>
  <c r="V13" i="3"/>
  <c r="U14" i="3"/>
  <c r="V14" i="3"/>
  <c r="V5" i="3"/>
  <c r="U5" i="3"/>
  <c r="M9" i="3"/>
  <c r="T8" i="3"/>
  <c r="T7" i="3"/>
  <c r="T11" i="3"/>
  <c r="T10" i="3"/>
  <c r="M8" i="3"/>
  <c r="M10" i="3"/>
  <c r="L8" i="3" l="1"/>
  <c r="L10" i="3"/>
  <c r="L9" i="3"/>
  <c r="S13" i="3"/>
  <c r="S14" i="3"/>
  <c r="S3" i="3"/>
  <c r="S5" i="3"/>
  <c r="S4" i="3"/>
  <c r="W9" i="3"/>
  <c r="S9" i="3"/>
  <c r="S6" i="3"/>
  <c r="S11" i="3"/>
  <c r="S8" i="3"/>
  <c r="S10" i="3"/>
  <c r="S7" i="3"/>
  <c r="U6" i="3"/>
  <c r="W6" i="3"/>
  <c r="V9" i="3"/>
  <c r="U9" i="3"/>
  <c r="M7" i="3"/>
  <c r="L7" i="3" s="1"/>
  <c r="M11" i="3"/>
  <c r="L11" i="3" s="1"/>
  <c r="V6" i="3"/>
  <c r="W7" i="3" l="1"/>
  <c r="W8" i="3"/>
  <c r="W11" i="3"/>
  <c r="W10" i="3"/>
  <c r="U10" i="3"/>
  <c r="U11" i="3"/>
  <c r="U7" i="3"/>
  <c r="U8" i="3" l="1"/>
  <c r="V8" i="3"/>
  <c r="V7" i="3"/>
  <c r="V10" i="3"/>
  <c r="V11" i="3"/>
  <c r="T12" i="3" l="1"/>
  <c r="T2" i="3"/>
  <c r="T6" i="3"/>
  <c r="T9" i="3"/>
</calcChain>
</file>

<file path=xl/comments1.xml><?xml version="1.0" encoding="utf-8"?>
<comments xmlns="http://schemas.openxmlformats.org/spreadsheetml/2006/main">
  <authors>
    <author>Auteur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sharedStrings.xml><?xml version="1.0" encoding="utf-8"?>
<sst xmlns="http://schemas.openxmlformats.org/spreadsheetml/2006/main" count="85" uniqueCount="67">
  <si>
    <t>Date</t>
  </si>
  <si>
    <t>Motif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</si>
  <si>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</si>
  <si>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</si>
  <si>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</si>
  <si>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</si>
  <si>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</si>
  <si>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</si>
  <si>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</si>
  <si>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</si>
  <si>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</si>
  <si>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</si>
  <si>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</si>
  <si>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</si>
  <si>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</si>
  <si>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sans interv.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</si>
  <si>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</si>
  <si>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</si>
  <si>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</si>
  <si>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</si>
  <si>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</si>
  <si>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</si>
  <si>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</si>
  <si>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</si>
  <si>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</si>
  <si>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</si>
  <si>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</si>
  <si>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</si>
  <si>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</si>
  <si>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</si>
  <si>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</si>
  <si>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Taux sans interv.</t>
  </si>
  <si>
    <t>Taux interv. jour</t>
  </si>
  <si>
    <t>Taux interv. dim ou férié</t>
  </si>
  <si>
    <t>Taux interv. nuit</t>
  </si>
  <si>
    <t>Interv. hors poste</t>
  </si>
  <si>
    <t>Total général</t>
  </si>
  <si>
    <t>Valeurs</t>
  </si>
  <si>
    <t>Années</t>
  </si>
  <si>
    <t>2018</t>
  </si>
  <si>
    <t>mai</t>
  </si>
  <si>
    <t>juin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</si>
  <si>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</si>
  <si>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</si>
  <si>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</si>
  <si>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</si>
  <si>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</si>
  <si>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</si>
  <si>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</si>
  <si>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</si>
  <si>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janv</t>
  </si>
  <si>
    <t>juil</t>
  </si>
  <si>
    <t>Hdébut garde</t>
  </si>
  <si>
    <t>Hfin garde</t>
  </si>
  <si>
    <t>Garde / Interv.</t>
  </si>
  <si>
    <t>Somme de Durée sans interv.</t>
  </si>
  <si>
    <t>Somme de Durée interv. jour</t>
  </si>
  <si>
    <t>Somme de Durée interv. dim ou férié</t>
  </si>
  <si>
    <t>Somme de Durée interv. nuit</t>
  </si>
  <si>
    <t>Somme de Arrondi sans interv.</t>
  </si>
  <si>
    <t>Somme de Arrondi interv. jour</t>
  </si>
  <si>
    <t>Somme de Arrondi interv. dim ou férié</t>
  </si>
  <si>
    <t>Somme de Arrondi interv. nuit</t>
  </si>
  <si>
    <t>mois</t>
  </si>
  <si>
    <t>indemnités</t>
  </si>
  <si>
    <t>année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</si>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</sst>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70" formatCode="d\ * hh:m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i/>
      <sz val="11"/>
      <color theme="0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65">
    <xf numFmtId="0" fontId="0" fillId="0" borderId="0" xfId="0"/>
    <xf numFmtId="164" fontId="5" fillId="0" borderId="0" xfId="4" applyNumberFormat="1"/>
    <xf numFmtId="166" fontId="0" fillId="0" borderId="0" xfId="0" applyNumberFormat="1"/>
    <xf numFmtId="167" fontId="0" fillId="0" borderId="0" xfId="0" applyNumberFormat="1"/>
    <xf numFmtId="166" fontId="9" fillId="0" borderId="0" xfId="0" applyNumberFormat="1" applyFont="1"/>
    <xf numFmtId="44" fontId="9" fillId="0" borderId="0" xfId="1" applyFont="1"/>
    <xf numFmtId="166" fontId="13" fillId="0" borderId="0" xfId="0" applyNumberFormat="1" applyFont="1" applyAlignment="1">
      <alignment vertical="center" wrapText="1"/>
    </xf>
    <xf numFmtId="166" fontId="12" fillId="0" borderId="0" xfId="0" applyNumberFormat="1" applyFont="1" applyAlignment="1"/>
    <xf numFmtId="0" fontId="14" fillId="0" borderId="0" xfId="0" applyFont="1" applyAlignme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pivotButton="1"/>
    <xf numFmtId="0" fontId="3" fillId="0" borderId="0" xfId="4" applyFont="1" applyFill="1"/>
    <xf numFmtId="0" fontId="15" fillId="0" borderId="0" xfId="0" applyFont="1" applyFill="1" applyBorder="1" applyAlignment="1">
      <alignment horizontal="center"/>
    </xf>
    <xf numFmtId="0" fontId="0" fillId="0" borderId="0" xfId="0" applyFill="1"/>
    <xf numFmtId="166" fontId="16" fillId="0" borderId="0" xfId="0" applyNumberFormat="1" applyFont="1"/>
    <xf numFmtId="166" fontId="16" fillId="0" borderId="0" xfId="0" applyNumberFormat="1" applyFont="1" applyFill="1"/>
    <xf numFmtId="170" fontId="13" fillId="0" borderId="0" xfId="0" applyNumberFormat="1" applyFont="1" applyAlignment="1">
      <alignment vertical="center" wrapText="1"/>
    </xf>
    <xf numFmtId="167" fontId="17" fillId="0" borderId="0" xfId="0" applyNumberFormat="1" applyFont="1" applyAlignment="1">
      <alignment vertical="center" wrapText="1"/>
    </xf>
    <xf numFmtId="0" fontId="17" fillId="0" borderId="0" xfId="0" applyFont="1" applyAlignment="1">
      <alignment vertical="center" wrapText="1"/>
    </xf>
    <xf numFmtId="166" fontId="17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166" fontId="13" fillId="0" borderId="0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/>
    <xf numFmtId="170" fontId="14" fillId="0" borderId="0" xfId="0" applyNumberFormat="1" applyFont="1"/>
    <xf numFmtId="166" fontId="14" fillId="0" borderId="0" xfId="0" applyNumberFormat="1" applyFont="1" applyBorder="1" applyAlignment="1"/>
    <xf numFmtId="166" fontId="14" fillId="0" borderId="0" xfId="0" applyNumberFormat="1" applyFont="1" applyAlignment="1"/>
    <xf numFmtId="166" fontId="14" fillId="0" borderId="0" xfId="0" applyNumberFormat="1" applyFont="1"/>
    <xf numFmtId="44" fontId="14" fillId="0" borderId="0" xfId="1" applyFont="1"/>
    <xf numFmtId="170" fontId="17" fillId="0" borderId="0" xfId="0" applyNumberFormat="1" applyFont="1" applyAlignment="1">
      <alignment vertical="center" wrapText="1"/>
    </xf>
    <xf numFmtId="166" fontId="17" fillId="0" borderId="0" xfId="0" applyNumberFormat="1" applyFont="1" applyBorder="1" applyAlignment="1">
      <alignment vertical="center" wrapText="1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67" fontId="16" fillId="0" borderId="0" xfId="0" applyNumberFormat="1" applyFont="1"/>
    <xf numFmtId="0" fontId="16" fillId="0" borderId="0" xfId="0" applyFont="1" applyAlignment="1">
      <alignment horizontal="center" vertical="center"/>
    </xf>
    <xf numFmtId="0" fontId="16" fillId="0" borderId="0" xfId="0" applyFont="1"/>
    <xf numFmtId="170" fontId="18" fillId="0" borderId="0" xfId="0" applyNumberFormat="1" applyFont="1"/>
    <xf numFmtId="0" fontId="18" fillId="0" borderId="0" xfId="0" applyFont="1" applyAlignment="1"/>
    <xf numFmtId="166" fontId="18" fillId="0" borderId="0" xfId="0" applyNumberFormat="1" applyFont="1" applyBorder="1" applyAlignment="1"/>
    <xf numFmtId="166" fontId="18" fillId="0" borderId="0" xfId="0" applyNumberFormat="1" applyFont="1" applyAlignment="1"/>
    <xf numFmtId="167" fontId="16" fillId="0" borderId="0" xfId="0" applyNumberFormat="1" applyFont="1" applyFill="1"/>
    <xf numFmtId="0" fontId="16" fillId="0" borderId="0" xfId="0" applyFont="1" applyFill="1" applyAlignment="1">
      <alignment horizontal="center" vertical="center"/>
    </xf>
    <xf numFmtId="170" fontId="18" fillId="0" borderId="0" xfId="0" applyNumberFormat="1" applyFont="1" applyFill="1"/>
    <xf numFmtId="0" fontId="18" fillId="0" borderId="0" xfId="0" applyFont="1" applyFill="1" applyAlignment="1"/>
    <xf numFmtId="166" fontId="18" fillId="0" borderId="0" xfId="0" applyNumberFormat="1" applyFont="1" applyFill="1" applyBorder="1" applyAlignment="1"/>
    <xf numFmtId="166" fontId="18" fillId="0" borderId="0" xfId="0" applyNumberFormat="1" applyFont="1" applyFill="1" applyAlignment="1"/>
    <xf numFmtId="167" fontId="16" fillId="0" borderId="0" xfId="0" applyNumberFormat="1" applyFont="1" applyAlignment="1">
      <alignment horizontal="center" vertical="center"/>
    </xf>
    <xf numFmtId="0" fontId="18" fillId="0" borderId="0" xfId="0" applyNumberFormat="1" applyFont="1" applyAlignment="1"/>
    <xf numFmtId="166" fontId="18" fillId="0" borderId="0" xfId="1" applyNumberFormat="1" applyFont="1" applyAlignment="1"/>
    <xf numFmtId="166" fontId="18" fillId="0" borderId="0" xfId="0" quotePrefix="1" applyNumberFormat="1" applyFont="1" applyAlignment="1"/>
    <xf numFmtId="170" fontId="16" fillId="0" borderId="0" xfId="0" applyNumberFormat="1" applyFont="1"/>
    <xf numFmtId="168" fontId="18" fillId="0" borderId="0" xfId="0" applyNumberFormat="1" applyFont="1"/>
    <xf numFmtId="0" fontId="16" fillId="0" borderId="0" xfId="0" applyFont="1" applyAlignment="1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0" fillId="0" borderId="1" xfId="0" applyBorder="1" applyAlignment="1">
      <alignment horizontal="left"/>
    </xf>
  </cellXfs>
  <cellStyles count="13">
    <cellStyle name="Excel Built-in Normal" xfId="6"/>
    <cellStyle name="Monétaire" xfId="1" builtinId="4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38">
    <dxf>
      <alignment wrapText="1" readingOrder="0"/>
    </dxf>
    <dxf>
      <alignment wrapText="1" readingOrder="0"/>
    </dxf>
    <dxf>
      <alignment wrapText="1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general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70" formatCode="d\ * hh: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70" formatCode="d\ * hh:mm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7" formatCode="ddd\ dd\-mmm\-yyyy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7" formatCode="ddd\ dd\-mmm\-yyyy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520700</xdr:colOff>
      <xdr:row>11</xdr:row>
      <xdr:rowOff>146050</xdr:rowOff>
    </xdr:from>
    <xdr:to>
      <xdr:col>9</xdr:col>
      <xdr:colOff>603250</xdr:colOff>
      <xdr:row>21</xdr:row>
      <xdr:rowOff>133350</xdr:rowOff>
    </xdr:to>
    <xdr:sp macro="" textlink="">
      <xdr:nvSpPr>
        <xdr:cNvPr id="2" name="Rectangle à coins arrondis 1"/>
        <xdr:cNvSpPr/>
      </xdr:nvSpPr>
      <xdr:spPr>
        <a:xfrm>
          <a:off x="4584700" y="2724150"/>
          <a:ext cx="3333750" cy="1828800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21299999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Attention : si le fichier a été copié, les données source n'ont pas forcément suivi et l'actualisation de la synthèse</a:t>
          </a:r>
          <a:r>
            <a:rPr lang="fr-FR" sz="1100" b="1" baseline="0"/>
            <a:t> ne se fait pas.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Dans ce cas,</a:t>
          </a:r>
        </a:p>
        <a:p>
          <a:pPr algn="l"/>
          <a:r>
            <a:rPr lang="fr-FR" sz="1100" b="1" baseline="0"/>
            <a:t>- se mettre sur une valeur du tableau</a:t>
          </a:r>
        </a:p>
        <a:p>
          <a:pPr algn="l"/>
          <a:r>
            <a:rPr lang="fr-FR" sz="1100" b="1" baseline="0"/>
            <a:t>- choisir "Outils de Tableau Croisé Dynamique"</a:t>
          </a:r>
        </a:p>
        <a:p>
          <a:pPr algn="l"/>
          <a:r>
            <a:rPr lang="fr-FR" sz="1100" b="1" baseline="0"/>
            <a:t>- changer la source des données</a:t>
          </a:r>
        </a:p>
        <a:p>
          <a:pPr algn="l"/>
          <a:r>
            <a:rPr lang="fr-FR" sz="1100" b="1" baseline="0"/>
            <a:t>- mettre data tout seul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501650</xdr:colOff>
      <xdr:row>2</xdr:row>
      <xdr:rowOff>57150</xdr:rowOff>
    </xdr:from>
    <xdr:to>
      <xdr:col>8</xdr:col>
      <xdr:colOff>488950</xdr:colOff>
      <xdr:row>5</xdr:row>
      <xdr:rowOff>50800</xdr:rowOff>
    </xdr:to>
    <xdr:sp macro="" textlink="">
      <xdr:nvSpPr>
        <xdr:cNvPr id="2" name="Rectangle à coins arrondis 1"/>
        <xdr:cNvSpPr/>
      </xdr:nvSpPr>
      <xdr:spPr>
        <a:xfrm>
          <a:off x="3708400" y="425450"/>
          <a:ext cx="3035300" cy="546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Actualiser le tableau croisé dynamique</a:t>
          </a:r>
          <a:r>
            <a:rPr lang="fr-FR" sz="1100" b="1" baseline="0"/>
            <a:t> dans onglet Synthèse pour mettre à jour les valeurs !</a:t>
          </a:r>
          <a:endParaRPr lang="fr-FR" sz="11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ableau%20de%20garde%20suivi%20v4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51.107324421297" createdVersion="5" refreshedVersion="5" minRefreshableVersion="3" recordCount="13">
  <cacheSource type="worksheet">
    <worksheetSource name="data" r:id="rId2"/>
  </cacheSource>
  <cacheFields count="29">
    <cacheField name="Date" numFmtId="167">
      <sharedItems containsSemiMixedTypes="0" containsNonDate="0" containsDate="1" containsString="0" minDate="2018-01-01T00:00:00" maxDate="2018-07-15T00:00:00" count="4">
        <d v="2018-01-01T00:00:00"/>
        <d v="2018-05-26T00:00:00"/>
        <d v="2018-06-20T00:00:00"/>
        <d v="2018-07-14T00:00:00"/>
      </sharedItems>
      <fieldGroup par="24" base="0">
        <rangePr groupBy="months" startDate="2018-01-01T00:00:00" endDate="2018-07-15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7/2018"/>
        </groupItems>
      </fieldGroup>
    </cacheField>
    <cacheField name="Véhicule" numFmtId="0">
      <sharedItems containsBlank="1"/>
    </cacheField>
    <cacheField name="Motif" numFmtId="0">
      <sharedItems containsNonDate="0" containsString="0" containsBlank="1"/>
    </cacheField>
    <cacheField name="Hdébut garde" numFmtId="166">
      <sharedItems containsNonDate="0" containsDate="1" containsString="0" containsBlank="1" minDate="1899-12-30T08:00:00" maxDate="1899-12-30T12:00:00"/>
    </cacheField>
    <cacheField name="Hfin garde" numFmtId="166">
      <sharedItems containsNonDate="0" containsDate="1" containsString="0" containsBlank="1" minDate="1899-12-30T08:00:00" maxDate="1899-12-30T08:00:00"/>
    </cacheField>
    <cacheField name="Hdébut interv." numFmtId="166">
      <sharedItems containsNonDate="0" containsDate="1" containsString="0" containsBlank="1" minDate="1899-12-30T03:30:00" maxDate="1899-12-30T21:00:00"/>
    </cacheField>
    <cacheField name="Hfin Interv." numFmtId="166">
      <sharedItems containsNonDate="0" containsDate="1" containsString="0" containsBlank="1" minDate="1899-12-30T01:04:00" maxDate="1899-12-30T23:58:00"/>
    </cacheField>
    <cacheField name="Hdébut corrigé" numFmtId="170">
      <sharedItems containsSemiMixedTypes="0" containsNonDate="0" containsDate="1" containsString="0" minDate="1899-12-30T08:00:00" maxDate="1899-12-31T03:30:00"/>
    </cacheField>
    <cacheField name="Hfin corrigée" numFmtId="170">
      <sharedItems containsSemiMixedTypes="0" containsNonDate="0" containsDate="1" containsString="0" minDate="1899-12-30T13:35:00" maxDate="1899-12-31T08:00:00"/>
    </cacheField>
    <cacheField name="Garde / Interv." numFmtId="0">
      <sharedItems/>
    </cacheField>
    <cacheField name="Début Dim ou Férié" numFmtId="0">
      <sharedItems/>
    </cacheField>
    <cacheField name="JOUR1" numFmtId="166">
      <sharedItems containsSemiMixedTypes="0" containsNonDate="0" containsDate="1" containsString="0" minDate="1899-12-30T00:00:00" maxDate="1899-12-30T14:00:00"/>
    </cacheField>
    <cacheField name="NUIT1.1" numFmtId="166">
      <sharedItems containsSemiMixedTypes="0" containsNonDate="0" containsDate="1" containsString="0" minDate="1899-12-30T00:00:00" maxDate="1899-12-31T00:00:00"/>
    </cacheField>
    <cacheField name="NUIT1.2" numFmtId="166">
      <sharedItems containsSemiMixedTypes="0" containsNonDate="0" containsDate="1" containsString="0" minDate="1899-12-30T00:00:00" maxDate="1899-12-30T02:00:00"/>
    </cacheField>
    <cacheField name="Fin Dim ou Férié" numFmtId="0">
      <sharedItems/>
    </cacheField>
    <cacheField name="JOUR2" numFmtId="166">
      <sharedItems containsSemiMixedTypes="0" containsNonDate="0" containsDate="1" containsString="0" minDate="1899-12-30T00:00:00" maxDate="1899-12-30T01:00:00"/>
    </cacheField>
    <cacheField name="NUIT2.1" numFmtId="166">
      <sharedItems containsSemiMixedTypes="0" containsNonDate="0" containsDate="1" containsString="0" minDate="1899-12-30T00:00:00" maxDate="1899-12-30T07:00:00"/>
    </cacheField>
    <cacheField name="NUIT2.2" numFmtId="166">
      <sharedItems containsSemiMixedTypes="0" containsNonDate="0" containsDate="1" containsString="0" minDate="1899-12-30T00:00:00" maxDate="1899-12-31T00:00:00"/>
    </cacheField>
    <cacheField name="Interv. hors poste" numFmtId="166">
      <sharedItems containsSemiMixedTypes="0" containsNonDate="0" containsDate="1" containsString="0" minDate="1899-12-30T00:00:00" maxDate="1899-12-31T00:00:00"/>
    </cacheField>
    <cacheField name="Durée sans interv." numFmtId="166">
      <sharedItems containsSemiMixedTypes="0" containsNonDate="0" containsDate="1" containsString="0" minDate="1899-12-30T00:00:00" maxDate="1899-12-30T14:55:00"/>
    </cacheField>
    <cacheField name="Durée interv. jour" numFmtId="166">
      <sharedItems containsSemiMixedTypes="0" containsNonDate="0" containsDate="1" containsString="0" minDate="1899-12-30T00:00:00" maxDate="1899-12-31T00:00:00"/>
    </cacheField>
    <cacheField name="Durée interv. dim ou férié" numFmtId="166">
      <sharedItems containsSemiMixedTypes="0" containsNonDate="0" containsDate="1" containsString="0" minDate="1899-12-30T00:00:00" maxDate="1899-12-31T00:00:00"/>
    </cacheField>
    <cacheField name="Durée interv. nuit" numFmtId="166">
      <sharedItems containsSemiMixedTypes="0" containsNonDate="0" containsDate="1" containsString="0" minDate="1899-12-30T00:00:00" maxDate="1899-12-31T00:00:00"/>
    </cacheField>
    <cacheField name="Total" numFmtId="0" formula="#NAME?+#NAME?" databaseField="0"/>
    <cacheField name="Années" numFmtId="0" databaseField="0">
      <fieldGroup base="0">
        <rangePr groupBy="years" startDate="2018-01-01T00:00:00" endDate="2018-07-15T00:00:00"/>
        <groupItems count="3">
          <s v="&lt;01/01/2018"/>
          <s v="2018"/>
          <s v="&gt;15/07/2018"/>
        </groupItems>
      </fieldGroup>
    </cacheField>
    <cacheField name="Arrondi sans interv." numFmtId="0" formula=" ROUNDUP('Durée sans interv.'*4*24,0)/4/24" databaseField="0"/>
    <cacheField name="Arrondi interv. jour" numFmtId="0" formula=" ROUNDUP('Durée interv. jour'*4*24,0)/4/24" databaseField="0"/>
    <cacheField name="Arrondi interv. dim ou férié" numFmtId="0" formula=" ROUNDUP('Durée interv. dim ou férié'*4*24,0)/4/24" databaseField="0"/>
    <cacheField name="Arrondi interv. nuit" numFmtId="0" formula=" ROUNDUP('Durée interv. nuit'*4*24,0)/4/24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m/>
    <m/>
    <d v="1899-12-30T08:00:00"/>
    <d v="1899-12-30T08:00:00"/>
    <m/>
    <m/>
    <d v="1899-12-30T08:00:00"/>
    <d v="1899-12-31T08:00:00"/>
    <s v="Garde"/>
    <s v="oui"/>
    <d v="1899-12-30T14:00:00"/>
    <d v="1899-12-30T00:00:00"/>
    <d v="1899-12-30T02:00:00"/>
    <s v="non"/>
    <d v="1899-12-30T01:00:00"/>
    <d v="1899-12-30T07:00:00"/>
    <d v="1899-12-30T00:00:00"/>
    <d v="1899-12-30T00:00:00"/>
    <d v="1899-12-30T13:31:00"/>
    <d v="1899-12-30T00:00:00"/>
    <d v="1899-12-30T00:00:00"/>
    <d v="1899-12-30T00:00:00"/>
  </r>
  <r>
    <x v="0"/>
    <s v="VSAV"/>
    <m/>
    <m/>
    <m/>
    <d v="1899-12-30T08:00:00"/>
    <d v="1899-12-30T13:35:00"/>
    <d v="1899-12-30T08:00:00"/>
    <d v="1899-12-30T13:35:00"/>
    <s v="Intervention"/>
    <s v="oui"/>
    <d v="1899-12-30T05:35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5:35:00"/>
    <d v="1899-12-30T00:00:00"/>
  </r>
  <r>
    <x v="0"/>
    <s v="VSAV"/>
    <m/>
    <m/>
    <m/>
    <d v="1899-12-30T13:40:00"/>
    <d v="1899-12-30T17:02:00"/>
    <d v="1899-12-30T13:40:00"/>
    <d v="1899-12-30T17:02:00"/>
    <s v="Intervention"/>
    <s v="oui"/>
    <d v="1899-12-30T03:22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3:22:00"/>
    <d v="1899-12-30T00:00:00"/>
  </r>
  <r>
    <x v="0"/>
    <s v="VSAV"/>
    <m/>
    <m/>
    <m/>
    <d v="1899-12-30T18:45:00"/>
    <d v="1899-12-30T20:17:00"/>
    <d v="1899-12-30T18:45:00"/>
    <d v="1899-12-30T20:17:00"/>
    <s v="Intervention"/>
    <s v="oui"/>
    <d v="1899-12-30T01:32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1:32:00"/>
    <d v="1899-12-30T00:00:00"/>
  </r>
  <r>
    <x v="1"/>
    <m/>
    <m/>
    <d v="1899-12-30T12:00:00"/>
    <d v="1899-12-30T08:00:00"/>
    <m/>
    <m/>
    <d v="1899-12-30T12:00:00"/>
    <d v="1899-12-31T08:00:00"/>
    <s v="Garde"/>
    <s v="non"/>
    <d v="1899-12-30T10:00:00"/>
    <d v="1899-12-30T00:00:00"/>
    <d v="1899-12-30T02:00:00"/>
    <s v="oui"/>
    <d v="1899-12-30T01:00:00"/>
    <d v="1899-12-30T07:00:00"/>
    <d v="1899-12-30T00:00:00"/>
    <d v="1899-12-30T00:00:00"/>
    <d v="1899-12-30T12:50:00"/>
    <d v="1899-12-30T00:00:00"/>
    <d v="1899-12-30T00:00:00"/>
    <d v="1899-12-30T00:00:00"/>
  </r>
  <r>
    <x v="1"/>
    <s v="CCF"/>
    <m/>
    <m/>
    <m/>
    <d v="1899-12-30T12:20:00"/>
    <d v="1899-12-30T15:26:00"/>
    <d v="1899-12-30T12:20:00"/>
    <d v="1899-12-30T15:26:00"/>
    <s v="Intervention"/>
    <s v="non"/>
    <d v="1899-12-30T03:06:00"/>
    <d v="1899-12-30T00:00:00"/>
    <d v="1899-12-30T00:00:00"/>
    <s v="non"/>
    <d v="1899-12-30T00:00:00"/>
    <d v="1899-12-30T00:00:00"/>
    <d v="1899-12-30T00:00:00"/>
    <d v="1899-12-30T00:00:00"/>
    <d v="1899-12-30T00:00:00"/>
    <d v="1899-12-30T03:06:00"/>
    <d v="1899-12-30T00:00:00"/>
    <d v="1899-12-30T00:00:00"/>
  </r>
  <r>
    <x v="1"/>
    <s v="VSAV"/>
    <m/>
    <m/>
    <m/>
    <d v="1899-12-30T21:00:00"/>
    <d v="1899-12-30T01:04:00"/>
    <d v="1899-12-30T21:00:00"/>
    <d v="1899-12-31T01:04:00"/>
    <s v="Intervention"/>
    <s v="non"/>
    <d v="1899-12-30T01:00:00"/>
    <d v="1899-12-30T00:00:00"/>
    <d v="1899-12-30T02:00:00"/>
    <s v="oui"/>
    <d v="1899-12-30T00:00:00"/>
    <d v="1899-12-30T01:04:00"/>
    <d v="1899-12-30T00:00:00"/>
    <d v="1899-12-30T00:00:00"/>
    <d v="1899-12-30T00:00:00"/>
    <d v="1899-12-30T01:00:00"/>
    <d v="1899-12-30T00:00:00"/>
    <d v="1899-12-30T03:04:00"/>
  </r>
  <r>
    <x v="2"/>
    <m/>
    <m/>
    <d v="1899-12-30T08:00:00"/>
    <d v="1899-12-30T08:00:00"/>
    <m/>
    <m/>
    <d v="1899-12-30T08:00:00"/>
    <d v="1899-12-31T08:00:00"/>
    <s v="Garde"/>
    <s v="non"/>
    <d v="1899-12-30T14:00:00"/>
    <d v="1899-12-30T00:00:00"/>
    <d v="1899-12-30T02:00:00"/>
    <s v="non"/>
    <d v="1899-12-30T01:00:00"/>
    <d v="1899-12-30T07:00:00"/>
    <d v="1899-12-30T00:00:00"/>
    <d v="1899-12-30T00:00:00"/>
    <d v="1899-12-30T06:32:00"/>
    <d v="1899-12-30T00:00:00"/>
    <d v="1899-12-30T00:00:00"/>
    <d v="1899-12-30T00:00:00"/>
  </r>
  <r>
    <x v="2"/>
    <s v="VLOD"/>
    <m/>
    <m/>
    <m/>
    <d v="1899-12-30T03:30:00"/>
    <d v="1899-12-30T07:30:00"/>
    <d v="1899-12-31T03:30:00"/>
    <d v="1899-12-31T07:30:00"/>
    <s v="Intervention"/>
    <s v="non"/>
    <d v="1899-12-30T00:00:00"/>
    <d v="1899-12-30T00:00:00"/>
    <d v="1899-12-30T00:00:00"/>
    <s v="non"/>
    <d v="1899-12-30T00:30:00"/>
    <d v="1899-12-30T03:30:00"/>
    <d v="1899-12-30T00:00:00"/>
    <d v="1899-12-30T00:00:00"/>
    <d v="1899-12-30T00:00:00"/>
    <d v="1899-12-30T00:30:00"/>
    <d v="1899-12-30T00:00:00"/>
    <d v="1899-12-30T03:30:00"/>
  </r>
  <r>
    <x v="2"/>
    <s v="FPTL"/>
    <m/>
    <m/>
    <m/>
    <d v="1899-12-30T10:20:00"/>
    <d v="1899-12-30T23:48:00"/>
    <d v="1899-12-30T10:20:00"/>
    <d v="1899-12-30T23:48:00"/>
    <s v="Intervention"/>
    <s v="non"/>
    <d v="1899-12-30T11:40:00"/>
    <d v="1899-12-30T00:00:00"/>
    <d v="1899-12-30T01:48:00"/>
    <s v="non"/>
    <d v="1899-12-30T00:00:00"/>
    <d v="1899-12-30T00:00:00"/>
    <d v="1899-12-30T00:00:00"/>
    <d v="1899-12-30T00:00:00"/>
    <d v="1899-12-30T00:00:00"/>
    <d v="1899-12-30T11:40:00"/>
    <d v="1899-12-30T00:00:00"/>
    <d v="1899-12-30T01:48:00"/>
  </r>
  <r>
    <x v="3"/>
    <m/>
    <m/>
    <d v="1899-12-30T08:00:00"/>
    <d v="1899-12-30T08:00:00"/>
    <m/>
    <m/>
    <d v="1899-12-30T08:00:00"/>
    <d v="1899-12-31T08:00:00"/>
    <s v="Garde"/>
    <s v="oui"/>
    <d v="1899-12-30T14:00:00"/>
    <d v="1899-12-30T00:00:00"/>
    <d v="1899-12-30T02:00:00"/>
    <s v="oui"/>
    <d v="1899-12-30T01:00:00"/>
    <d v="1899-12-30T07:00:00"/>
    <d v="1899-12-30T00:00:00"/>
    <d v="1899-12-30T00:00:00"/>
    <d v="1899-12-30T14:55:00"/>
    <d v="1899-12-30T00:00:00"/>
    <d v="1899-12-30T00:00:00"/>
    <d v="1899-12-30T00:00:00"/>
  </r>
  <r>
    <x v="3"/>
    <s v="CCF"/>
    <m/>
    <m/>
    <m/>
    <d v="1899-12-30T10:05:00"/>
    <d v="1899-12-30T14:12:00"/>
    <d v="1899-12-30T10:05:00"/>
    <d v="1899-12-30T14:12:00"/>
    <s v="Intervention"/>
    <s v="oui"/>
    <d v="1899-12-30T04:07:00"/>
    <d v="1899-12-30T00:00:00"/>
    <d v="1899-12-30T00:00:00"/>
    <s v="oui"/>
    <d v="1899-12-30T00:00:00"/>
    <d v="1899-12-30T00:00:00"/>
    <d v="1899-12-30T00:00:00"/>
    <d v="1899-12-30T00:00:00"/>
    <d v="1899-12-30T00:00:00"/>
    <d v="1899-12-30T00:00:00"/>
    <d v="1899-12-30T04:07:00"/>
    <d v="1899-12-30T00:00:00"/>
  </r>
  <r>
    <x v="3"/>
    <s v="CCF"/>
    <m/>
    <m/>
    <m/>
    <d v="1899-12-30T19:00:00"/>
    <d v="1899-12-30T23:58:00"/>
    <d v="1899-12-30T19:00:00"/>
    <d v="1899-12-30T23:58:00"/>
    <s v="Intervention"/>
    <s v="oui"/>
    <d v="1899-12-30T03:00:00"/>
    <d v="1899-12-30T00:00:00"/>
    <d v="1899-12-30T01:58:00"/>
    <s v="oui"/>
    <d v="1899-12-30T00:00:00"/>
    <d v="1899-12-30T00:00:00"/>
    <d v="1899-12-30T00:00:00"/>
    <d v="1899-12-30T00:00:00"/>
    <d v="1899-12-30T00:00:00"/>
    <d v="1899-12-30T00:00:00"/>
    <d v="1899-12-30T03:00:00"/>
    <d v="1899-12-30T01:58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A3:J9" firstHeaderRow="1" firstDataRow="2" firstDataCol="2"/>
  <pivotFields count="29">
    <pivotField axis="axisRow" compact="0" numFmtId="167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66" outline="0" showAll="0" defaultSubtotal="0"/>
    <pivotField compact="0" outline="0" showAll="0"/>
    <pivotField compact="0" outline="0" showAll="0" defaultSubtotal="0"/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outline="0" showAl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compact="0" numFmtId="166" outline="0" showAll="0" defaultSubtota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dragToRow="0" dragToCol="0" dragToPage="0" showAll="0" defaultSubtotal="0"/>
    <pivotField axis="axisRow" compact="0" outline="0" showAll="0" defaultSubtotal="0">
      <items count="3">
        <item x="0"/>
        <item x="1"/>
        <item x="2"/>
      </items>
    </pivotField>
    <pivotField dataField="1" compact="0" outline="0" dragToRow="0" dragToCol="0" dragToPag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2">
    <field x="24"/>
    <field x="0"/>
  </rowFields>
  <rowItems count="5">
    <i>
      <x v="1"/>
      <x v="1"/>
    </i>
    <i r="1">
      <x v="5"/>
    </i>
    <i r="1">
      <x v="6"/>
    </i>
    <i r="1">
      <x v="7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Somme de Durée sans interv." fld="19" baseField="0" baseItem="0" numFmtId="166"/>
    <dataField name="Somme de Durée interv. jour" fld="20" baseField="0" baseItem="0" numFmtId="166"/>
    <dataField name="Somme de Durée interv. dim ou férié" fld="21" baseField="0" baseItem="0" numFmtId="166"/>
    <dataField name="Somme de Durée interv. nuit" fld="22" baseField="0" baseItem="0" numFmtId="166"/>
    <dataField name="Somme de Arrondi sans interv." fld="25" baseField="0" baseItem="0" numFmtId="166"/>
    <dataField name="Somme de Arrondi interv. jour" fld="26" baseField="0" baseItem="0" numFmtId="166"/>
    <dataField name="Somme de Arrondi interv. dim ou férié" fld="27" baseField="0" baseItem="0" numFmtId="166"/>
    <dataField name="Somme de Arrondi interv. nuit" fld="28" baseField="0" baseItem="0" numFmtId="166"/>
  </dataFields>
  <formats count="3">
    <format dxfId="2">
      <pivotArea field="24" type="button" dataOnly="0" labelOnly="1" outline="0" axis="axisRow" fieldPosition="0"/>
    </format>
    <format dxfId="1">
      <pivotArea field="0" type="button" dataOnly="0" labelOnly="1" outline="0" axis="axisRow" fieldPosition="1"/>
    </format>
    <format dxfId="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ata" displayName="data" ref="A1:W14" totalsRowShown="0" headerRowDxfId="37" dataDxfId="36">
  <autoFilter ref="A1:W14"/>
  <sortState ref="A2:W14">
    <sortCondition ref="A2:A14"/>
    <sortCondition ref="J2:J14"/>
    <sortCondition ref="F2:F14"/>
  </sortState>
  <tableColumns count="23">
    <tableColumn id="1" name="Date" dataDxfId="35"/>
    <tableColumn id="5" name="Véhicule" dataDxfId="34"/>
    <tableColumn id="6" name="Motif" dataDxfId="33"/>
    <tableColumn id="25" name="Hdébut garde" dataDxfId="32"/>
    <tableColumn id="26" name="Hfin garde" dataDxfId="31"/>
    <tableColumn id="3" name="Hdébut interv." dataDxfId="30"/>
    <tableColumn id="4" name="Hfin Interv." dataDxfId="29"/>
    <tableColumn id="23" name="Hdébut corrigé" dataDxfId="28">
      <calculatedColumnFormula>IF(data[[#This Row],[Hdébut garde]]&lt;&gt;"",
data[[#This Row],[Hdébut garde]],
data[[#This Row],[Hdébut interv.]]+IF(data[[#This Row],[Hdébut interv.]]&lt;SUMPRODUCT((data[Date]=data[[#This Row],[Date]])*data[Hdébut garde]),1,0)
)</calculatedColumnFormula>
    </tableColumn>
    <tableColumn id="12" name="Hfin corrigée" dataDxfId="27">
      <calculatedColumnFormula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calculatedColumnFormula>
    </tableColumn>
    <tableColumn id="7" name="Garde / Interv." dataDxfId="26">
      <calculatedColumnFormula>IF(data[[#This Row],[Hdébut garde]]&lt;&gt;"","Garde",IF(data[[#This Row],[Hdébut corrigé]]&lt;&gt;"","Intervention",""))</calculatedColumnFormula>
    </tableColumn>
    <tableColumn id="8" name="Début Dim ou Férié" dataDxfId="25">
      <calculatedColumnFormula>IF(OR(WEEKDAY(data[[#This Row],[Date]],2)=7,COUNTIF(JF,data[[#This Row],[Date]])=1),"oui","non")</calculatedColumnFormula>
    </tableColumn>
    <tableColumn id="10" name="JOUR1" dataDxfId="24">
      <calculatedColumnFormula>MAX(0,(MIN(1,data[[#This Row],[Hfin corrigée]])-data[[#This Row],[Hdébut corrigé]])-data[[#This Row],[NUIT1.1]]-data[[#This Row],[NUIT1.2]])</calculatedColumnFormula>
    </tableColumn>
    <tableColumn id="11" name="NUIT1.1" dataDxfId="23">
      <calculatedColumnFormula>IF(data[[#This Row],[Hfin Interv.]]="",0,(
MIN(FinNuit,MIN(1,data[[#This Row],[Hfin corrigée]]))-MIN(FinNuit,data[[#This Row],[Hdébut corrigé]])
))</calculatedColumnFormula>
    </tableColumn>
    <tableColumn id="18" name="NUIT1.2" dataDxfId="22">
      <calculatedColumnFormula>MAX(0,(MAX(0,(MIN(1,data[[#This Row],[Hfin corrigée]])-DebNuit))-MAX(0,(data[[#This Row],[Hdébut corrigé]]-DebNuit))))</calculatedColumnFormula>
    </tableColumn>
    <tableColumn id="9" name="Fin Dim ou Férié" dataDxfId="21">
      <calculatedColumnFormula>IF(OR(WEEKDAY(data[[#This Row],[Date]]+data[[#This Row],[Hfin corrigée]],2)=7,COUNTIF(JF,INT(data[[#This Row],[Date]]+data[[#This Row],[Hfin corrigée]]))=1),"oui","non")</calculatedColumnFormula>
    </tableColumn>
    <tableColumn id="19" name="JOUR2" dataDxfId="20">
      <calculatedColumnFormula>MAX(0,data[[#This Row],[Hfin corrigée]]-MAX(1,data[[#This Row],[Hdébut corrigé]]))-data[[#This Row],[NUIT2.1]]-data[[#This Row],[NUIT2.2]]</calculatedColumnFormula>
    </tableColumn>
    <tableColumn id="20" name="NUIT2.1" dataDxfId="19">
      <calculatedColumnFormula>MAX(0,MIN(1+FinNuit,data[[#This Row],[Hfin corrigée]])-MAX(1,data[[#This Row],[Hdébut corrigé]]))</calculatedColumnFormula>
    </tableColumn>
    <tableColumn id="21" name="NUIT2.2" dataDxfId="18">
      <calculatedColumnFormula>MAX(0,(data[[#This Row],[Hfin corrigée]]-DebNuit-1))</calculatedColumnFormula>
    </tableColumn>
    <tableColumn id="22" name="Interv. hors poste" dataDxfId="17">
      <calculatedColumnFormula>IF(data[[#This Row],[Garde / Interv.]]="Intervention",MAX(0,data[[#This Row],[Hfin corrigée]]-SUMPRODUCT((data[Date]=data[[#This Row],[Date]])*(data[Garde / Interv.]="Garde")*data[Hfin corrigée])),0)</calculatedColumnFormula>
    </tableColumn>
    <tableColumn id="16" name="Durée sans interv." dataDxfId="16">
      <calculatedColumnFormula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13" name="Durée interv. jour" dataDxfId="15">
      <calculatedColumnFormula>MAX(0,IF(data[[#This Row],[Garde / Interv.]]="Intervention",(data[[#This Row],[Fin Dim ou Férié]]="non")*data[[#This Row],[JOUR2]]+(data[[#This Row],[Début Dim ou Férié]]="non")*data[[#This Row],[JOUR1]],0))</calculatedColumnFormula>
    </tableColumn>
    <tableColumn id="14" name="Durée interv. dim ou férié" dataDxfId="14">
      <calculatedColumnFormula>IF(data[[#This Row],[Garde / Interv.]]="Intervention",(data[[#This Row],[Fin Dim ou Férié]]="oui")*data[[#This Row],[JOUR2]]+(data[[#This Row],[Début Dim ou Férié]]="oui")*data[[#This Row],[JOUR1]],0)</calculatedColumnFormula>
    </tableColumn>
    <tableColumn id="15" name="Durée interv. nuit" dataDxfId="13">
      <calculatedColumnFormula>MAX(0,IF(data[[#This Row],[Garde / Interv.]]="Intervention",data[[#This Row],[NUIT1.1]]+data[[#This Row],[NUIT1.2]]+data[[#This Row],[NUIT2.1]]+data[[#This Row],[NUIT2.2]],0))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est" displayName="test" ref="A1:H9" totalsRowShown="0" headerRowDxfId="12" dataDxfId="11">
  <autoFilter ref="A1:H9"/>
  <tableColumns count="8">
    <tableColumn id="23" name="Hdébut corrigé" dataDxfId="10"/>
    <tableColumn id="12" name="Hfin corrigée" dataDxfId="9"/>
    <tableColumn id="10" name="JOUR1" dataDxfId="8">
      <calculatedColumnFormula>MAX(0,(MIN(1,test[[#This Row],[Hfin corrigée]])-test[[#This Row],[Hdébut corrigé]])-test[[#This Row],[NUIT1.1]]-test[[#This Row],[NUIT1.2]])</calculatedColumnFormula>
    </tableColumn>
    <tableColumn id="11" name="NUIT1.1" dataDxfId="7">
      <calculatedColumnFormula>MIN(FinNuit,MIN(1,test[[#This Row],[Hfin corrigée]]))-MIN(FinNuit,test[[#This Row],[Hdébut corrigé]])</calculatedColumnFormula>
    </tableColumn>
    <tableColumn id="18" name="NUIT1.2" dataDxfId="6">
      <calculatedColumnFormula>MAX(0,(MAX(0,(MIN(1,test[[#This Row],[Hfin corrigée]])-DebNuit))-MAX(0,(test[[#This Row],[Hdébut corrigé]]-DebNuit))))</calculatedColumnFormula>
    </tableColumn>
    <tableColumn id="19" name="JOUR2" dataDxfId="5">
      <calculatedColumnFormula>MAX(0,test[[#This Row],[Hfin corrigée]]-MAX(1,test[[#This Row],[Hdébut corrigé]]))-test[[#This Row],[NUIT2.1]]-test[[#This Row],[NUIT2.2]]</calculatedColumnFormula>
    </tableColumn>
    <tableColumn id="20" name="NUIT2.1" dataDxfId="4">
      <calculatedColumnFormula>MAX(0,MIN(1+FinNuit,test[[#This Row],[Hfin corrigée]])-MAX(1,test[[#This Row],[Hdébut corrigé]]))</calculatedColumnFormula>
    </tableColumn>
    <tableColumn id="21" name="NUIT2.2" dataDxfId="3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4"/>
  <sheetViews>
    <sheetView showZeros="0" zoomScaleNormal="100" workbookViewId="0">
      <selection activeCell="A2" sqref="A2"/>
    </sheetView>
  </sheetViews>
  <sheetFormatPr baseColWidth="10" defaultRowHeight="14.5" x14ac:dyDescent="0.35"/>
  <cols>
    <col min="1" max="1" width="16.81640625" style="41" customWidth="1"/>
    <col min="2" max="2" width="9.90625" style="43" customWidth="1"/>
    <col min="3" max="3" width="23.90625" style="43" customWidth="1"/>
    <col min="4" max="7" width="9.08984375" style="22" customWidth="1"/>
    <col min="8" max="9" width="0" style="58" hidden="1" customWidth="1"/>
    <col min="10" max="11" width="10.81640625" style="59" hidden="1" customWidth="1"/>
    <col min="12" max="13" width="10.90625" style="43" hidden="1" customWidth="1"/>
    <col min="14" max="14" width="13.6328125" style="60" hidden="1" customWidth="1"/>
    <col min="15" max="15" width="7.1796875" style="45" hidden="1" customWidth="1"/>
    <col min="16" max="16" width="9.81640625" style="45" hidden="1" customWidth="1"/>
    <col min="17" max="18" width="8.54296875" style="60" hidden="1" customWidth="1"/>
    <col min="19" max="19" width="7.1796875" style="60" hidden="1" customWidth="1"/>
    <col min="20" max="20" width="9.81640625" style="45" customWidth="1"/>
    <col min="21" max="23" width="8.54296875" style="60" customWidth="1"/>
    <col min="24" max="24" width="10.90625" style="8"/>
    <col min="25" max="25" width="9.81640625" style="7" customWidth="1"/>
    <col min="26" max="26" width="10" style="7" customWidth="1"/>
    <col min="27" max="27" width="10.90625" style="7"/>
    <col min="28" max="28" width="10" style="4" customWidth="1"/>
    <col min="29" max="29" width="10.90625" style="5"/>
  </cols>
  <sheetData>
    <row r="1" spans="1:29" s="26" customFormat="1" ht="58" x14ac:dyDescent="0.35">
      <c r="A1" s="25" t="s">
        <v>0</v>
      </c>
      <c r="B1" s="26" t="s">
        <v>2</v>
      </c>
      <c r="C1" s="26" t="s">
        <v>1</v>
      </c>
      <c r="D1" s="27" t="s">
        <v>52</v>
      </c>
      <c r="E1" s="27" t="s">
        <v>53</v>
      </c>
      <c r="F1" s="27" t="s">
        <v>19</v>
      </c>
      <c r="G1" s="27" t="s">
        <v>20</v>
      </c>
      <c r="H1" s="24" t="s">
        <v>27</v>
      </c>
      <c r="I1" s="24" t="s">
        <v>14</v>
      </c>
      <c r="J1" s="28" t="s">
        <v>54</v>
      </c>
      <c r="K1" s="28" t="s">
        <v>12</v>
      </c>
      <c r="L1" s="29" t="s">
        <v>21</v>
      </c>
      <c r="M1" s="29" t="s">
        <v>22</v>
      </c>
      <c r="N1" s="29" t="s">
        <v>23</v>
      </c>
      <c r="O1" s="28" t="s">
        <v>13</v>
      </c>
      <c r="P1" s="29" t="s">
        <v>24</v>
      </c>
      <c r="Q1" s="29" t="s">
        <v>25</v>
      </c>
      <c r="R1" s="29" t="s">
        <v>26</v>
      </c>
      <c r="S1" s="29" t="s">
        <v>35</v>
      </c>
      <c r="T1" s="6" t="s">
        <v>15</v>
      </c>
      <c r="U1" s="6" t="s">
        <v>18</v>
      </c>
      <c r="V1" s="6" t="s">
        <v>16</v>
      </c>
      <c r="W1" s="6" t="s">
        <v>17</v>
      </c>
    </row>
    <row r="2" spans="1:29" x14ac:dyDescent="0.35">
      <c r="A2" s="41">
        <v>43101</v>
      </c>
      <c r="B2" s="42"/>
      <c r="C2" s="42"/>
      <c r="D2" s="22">
        <v>0.33333333333333331</v>
      </c>
      <c r="E2" s="22">
        <v>0.33333333333333331</v>
      </c>
      <c r="H2" s="44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I2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J2" s="45" t="str">
        <f>IF(data[[#This Row],[Hdébut garde]]&lt;&gt;"","Garde",IF(data[[#This Row],[Hdébut corrigé]]&lt;&gt;"","Intervention",""))</f>
        <v>Garde</v>
      </c>
      <c r="K2" s="45" t="str">
        <f>IF(OR(WEEKDAY(data[[#This Row],[Date]],2)=7,COUNTIF(JF,data[[#This Row],[Date]])=1),"oui","non")</f>
        <v>oui</v>
      </c>
      <c r="L2" s="46">
        <f>MAX(0,(MIN(1,data[[#This Row],[Hfin corrigée]])-data[[#This Row],[Hdébut corrigé]])-data[[#This Row],[NUIT1.1]]-data[[#This Row],[NUIT1.2]])</f>
        <v>0.58333333333333337</v>
      </c>
      <c r="M2" s="46">
        <f>IF(data[[#This Row],[Hfin Interv.]]="",0,(
MIN(FinNuit,MIN(1,data[[#This Row],[Hfin corrigée]]))-MIN(FinNuit,data[[#This Row],[Hdébut corrigé]])
))</f>
        <v>0</v>
      </c>
      <c r="N2" s="46">
        <f>MAX(0,(MAX(0,(MIN(1,data[[#This Row],[Hfin corrigée]])-DebNuit))-MAX(0,(data[[#This Row],[Hdébut corrigé]]-DebNuit))))</f>
        <v>8.333333333333337E-2</v>
      </c>
      <c r="O2" s="45" t="str">
        <f>IF(OR(WEEKDAY(data[[#This Row],[Date]]+data[[#This Row],[Hfin corrigée]],2)=7,COUNTIF(JF,INT(data[[#This Row],[Date]]+data[[#This Row],[Hfin corrigée]]))=1),"oui","non")</f>
        <v>non</v>
      </c>
      <c r="P2" s="46">
        <f>MAX(0,data[[#This Row],[Hfin corrigée]]-MAX(1,data[[#This Row],[Hdébut corrigé]]))-data[[#This Row],[NUIT2.1]]-data[[#This Row],[NUIT2.2]]</f>
        <v>4.1666666666666519E-2</v>
      </c>
      <c r="Q2" s="46">
        <f>MAX(0,MIN(1+FinNuit,data[[#This Row],[Hfin corrigée]])-MAX(1,data[[#This Row],[Hdébut corrigé]]))</f>
        <v>0.29166666666666674</v>
      </c>
      <c r="R2" s="46">
        <f>MAX(0,(data[[#This Row],[Hfin corrigée]]-DebNuit-1))</f>
        <v>0</v>
      </c>
      <c r="S2" s="46">
        <f>IF(data[[#This Row],[Garde / Interv.]]="Intervention",MAX(0,data[[#This Row],[Hfin corrigée]]-SUMPRODUCT((data[Date]=data[[#This Row],[Date]])*(data[Garde / Interv.]="Garde")*data[Hfin corrigée])),0)</f>
        <v>0</v>
      </c>
      <c r="T2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0.56319444444444433</v>
      </c>
      <c r="U2" s="47">
        <f>MAX(0,IF(data[[#This Row],[Garde / Interv.]]="Intervention",(data[[#This Row],[Fin Dim ou Férié]]="non")*data[[#This Row],[JOUR2]]+(data[[#This Row],[Début Dim ou Férié]]="non")*data[[#This Row],[JOUR1]],0))</f>
        <v>0</v>
      </c>
      <c r="V2" s="47">
        <f>IF(data[[#This Row],[Garde / Interv.]]="Intervention",(data[[#This Row],[Fin Dim ou Férié]]="oui")*data[[#This Row],[JOUR2]]+(data[[#This Row],[Début Dim ou Férié]]="oui")*data[[#This Row],[JOUR1]],0)</f>
        <v>0</v>
      </c>
      <c r="W2" s="47">
        <f>MAX(0,IF(data[[#This Row],[Garde / Interv.]]="Intervention",data[[#This Row],[NUIT1.1]]+data[[#This Row],[NUIT1.2]]+data[[#This Row],[NUIT2.1]]+data[[#This Row],[NUIT2.2]],0))</f>
        <v>0</v>
      </c>
      <c r="X2"/>
      <c r="Y2"/>
      <c r="Z2"/>
      <c r="AA2"/>
      <c r="AB2"/>
      <c r="AC2"/>
    </row>
    <row r="3" spans="1:29" x14ac:dyDescent="0.35">
      <c r="A3" s="41">
        <v>43101</v>
      </c>
      <c r="B3" s="54" t="s">
        <v>3</v>
      </c>
      <c r="C3" s="41"/>
      <c r="F3" s="22">
        <v>0.33333333333333331</v>
      </c>
      <c r="G3" s="22">
        <v>0.56597222222222221</v>
      </c>
      <c r="H3" s="44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I3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0.56597222222222221</v>
      </c>
      <c r="J3" s="45" t="str">
        <f>IF(data[[#This Row],[Hdébut garde]]&lt;&gt;"","Garde",IF(data[[#This Row],[Hdébut corrigé]]&lt;&gt;"","Intervention",""))</f>
        <v>Intervention</v>
      </c>
      <c r="K3" s="55" t="str">
        <f>IF(OR(WEEKDAY(data[[#This Row],[Date]],2)=7,COUNTIF(JF,data[[#This Row],[Date]])=1),"oui","non")</f>
        <v>oui</v>
      </c>
      <c r="L3" s="47">
        <f>MAX(0,(MIN(1,data[[#This Row],[Hfin corrigée]])-data[[#This Row],[Hdébut corrigé]])-data[[#This Row],[NUIT1.1]]-data[[#This Row],[NUIT1.2]])</f>
        <v>0.2326388888888889</v>
      </c>
      <c r="M3" s="47">
        <f>IF(data[[#This Row],[Hfin Interv.]]="",0,(
MIN(FinNuit,MIN(1,data[[#This Row],[Hfin corrigée]]))-MIN(FinNuit,data[[#This Row],[Hdébut corrigé]])
))</f>
        <v>0</v>
      </c>
      <c r="N3" s="47">
        <f>MAX(0,(MAX(0,(MIN(1,data[[#This Row],[Hfin corrigée]])-DebNuit))-MAX(0,(data[[#This Row],[Hdébut corrigé]]-DebNuit))))</f>
        <v>0</v>
      </c>
      <c r="O3" s="55" t="str">
        <f>IF(OR(WEEKDAY(data[[#This Row],[Date]]+data[[#This Row],[Hfin corrigée]],2)=7,COUNTIF(JF,INT(data[[#This Row],[Date]]+data[[#This Row],[Hfin corrigée]]))=1),"oui","non")</f>
        <v>oui</v>
      </c>
      <c r="P3" s="47">
        <f>MAX(0,data[[#This Row],[Hfin corrigée]]-MAX(1,data[[#This Row],[Hdébut corrigé]]))-data[[#This Row],[NUIT2.1]]-data[[#This Row],[NUIT2.2]]</f>
        <v>0</v>
      </c>
      <c r="Q3" s="47">
        <f>MAX(0,MIN(1+FinNuit,data[[#This Row],[Hfin corrigée]])-MAX(1,data[[#This Row],[Hdébut corrigé]]))</f>
        <v>0</v>
      </c>
      <c r="R3" s="47">
        <f>MAX(0,(data[[#This Row],[Hfin corrigée]]-DebNuit-1))</f>
        <v>0</v>
      </c>
      <c r="S3" s="47">
        <f>IF(data[[#This Row],[Garde / Interv.]]="Intervention",MAX(0,data[[#This Row],[Hfin corrigée]]-SUMPRODUCT((data[Date]=data[[#This Row],[Date]])*(data[Garde / Interv.]="Garde")*data[Hfin corrigée])),0)</f>
        <v>0</v>
      </c>
      <c r="T3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" s="47">
        <f>MAX(0,IF(data[[#This Row],[Garde / Interv.]]="Intervention",(data[[#This Row],[Fin Dim ou Férié]]="non")*data[[#This Row],[JOUR2]]+(data[[#This Row],[Début Dim ou Férié]]="non")*data[[#This Row],[JOUR1]],0))</f>
        <v>0</v>
      </c>
      <c r="V3" s="56">
        <f>IF(data[[#This Row],[Garde / Interv.]]="Intervention",(data[[#This Row],[Fin Dim ou Férié]]="oui")*data[[#This Row],[JOUR2]]+(data[[#This Row],[Début Dim ou Férié]]="oui")*data[[#This Row],[JOUR1]],0)</f>
        <v>0.2326388888888889</v>
      </c>
      <c r="W3" s="57">
        <f>MAX(0,IF(data[[#This Row],[Garde / Interv.]]="Intervention",data[[#This Row],[NUIT1.1]]+data[[#This Row],[NUIT1.2]]+data[[#This Row],[NUIT2.1]]+data[[#This Row],[NUIT2.2]],0))</f>
        <v>0</v>
      </c>
      <c r="X3"/>
      <c r="Y3"/>
      <c r="Z3"/>
      <c r="AA3"/>
      <c r="AB3"/>
      <c r="AC3"/>
    </row>
    <row r="4" spans="1:29" x14ac:dyDescent="0.35">
      <c r="A4" s="41">
        <v>43101</v>
      </c>
      <c r="B4" s="54" t="s">
        <v>3</v>
      </c>
      <c r="C4" s="41"/>
      <c r="F4" s="22">
        <v>0.56944444444444442</v>
      </c>
      <c r="G4" s="22">
        <v>0.70972222222222225</v>
      </c>
      <c r="H4" s="44">
        <f>IF(data[[#This Row],[Hdébut garde]]&lt;&gt;"",
data[[#This Row],[Hdébut garde]],
data[[#This Row],[Hdébut interv.]]+IF(data[[#This Row],[Hdébut interv.]]&lt;SUMPRODUCT((data[Date]=data[[#This Row],[Date]])*data[Hdébut garde]),1,0)
)</f>
        <v>0.56944444444444442</v>
      </c>
      <c r="I4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0.70972222222222225</v>
      </c>
      <c r="J4" s="45" t="str">
        <f>IF(data[[#This Row],[Hdébut garde]]&lt;&gt;"","Garde",IF(data[[#This Row],[Hdébut corrigé]]&lt;&gt;"","Intervention",""))</f>
        <v>Intervention</v>
      </c>
      <c r="K4" s="55" t="str">
        <f>IF(OR(WEEKDAY(data[[#This Row],[Date]],2)=7,COUNTIF(JF,data[[#This Row],[Date]])=1),"oui","non")</f>
        <v>oui</v>
      </c>
      <c r="L4" s="47">
        <f>MAX(0,(MIN(1,data[[#This Row],[Hfin corrigée]])-data[[#This Row],[Hdébut corrigé]])-data[[#This Row],[NUIT1.1]]-data[[#This Row],[NUIT1.2]])</f>
        <v>0.14027777777777783</v>
      </c>
      <c r="M4" s="47">
        <f>IF(data[[#This Row],[Hfin Interv.]]="",0,(
MIN(FinNuit,MIN(1,data[[#This Row],[Hfin corrigée]]))-MIN(FinNuit,data[[#This Row],[Hdébut corrigé]])
))</f>
        <v>0</v>
      </c>
      <c r="N4" s="47">
        <f>MAX(0,(MAX(0,(MIN(1,data[[#This Row],[Hfin corrigée]])-DebNuit))-MAX(0,(data[[#This Row],[Hdébut corrigé]]-DebNuit))))</f>
        <v>0</v>
      </c>
      <c r="O4" s="55" t="str">
        <f>IF(OR(WEEKDAY(data[[#This Row],[Date]]+data[[#This Row],[Hfin corrigée]],2)=7,COUNTIF(JF,INT(data[[#This Row],[Date]]+data[[#This Row],[Hfin corrigée]]))=1),"oui","non")</f>
        <v>oui</v>
      </c>
      <c r="P4" s="47">
        <f>MAX(0,data[[#This Row],[Hfin corrigée]]-MAX(1,data[[#This Row],[Hdébut corrigé]]))-data[[#This Row],[NUIT2.1]]-data[[#This Row],[NUIT2.2]]</f>
        <v>0</v>
      </c>
      <c r="Q4" s="47">
        <f>MAX(0,MIN(1+FinNuit,data[[#This Row],[Hfin corrigée]])-MAX(1,data[[#This Row],[Hdébut corrigé]]))</f>
        <v>0</v>
      </c>
      <c r="R4" s="47">
        <f>MAX(0,(data[[#This Row],[Hfin corrigée]]-DebNuit-1))</f>
        <v>0</v>
      </c>
      <c r="S4" s="47">
        <f>IF(data[[#This Row],[Garde / Interv.]]="Intervention",MAX(0,data[[#This Row],[Hfin corrigée]]-SUMPRODUCT((data[Date]=data[[#This Row],[Date]])*(data[Garde / Interv.]="Garde")*data[Hfin corrigée])),0)</f>
        <v>0</v>
      </c>
      <c r="T4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" s="47">
        <f>MAX(0,IF(data[[#This Row],[Garde / Interv.]]="Intervention",(data[[#This Row],[Fin Dim ou Férié]]="non")*data[[#This Row],[JOUR2]]+(data[[#This Row],[Début Dim ou Férié]]="non")*data[[#This Row],[JOUR1]],0))</f>
        <v>0</v>
      </c>
      <c r="V4" s="56">
        <f>IF(data[[#This Row],[Garde / Interv.]]="Intervention",(data[[#This Row],[Fin Dim ou Férié]]="oui")*data[[#This Row],[JOUR2]]+(data[[#This Row],[Début Dim ou Férié]]="oui")*data[[#This Row],[JOUR1]],0)</f>
        <v>0.14027777777777783</v>
      </c>
      <c r="W4" s="47">
        <f>MAX(0,IF(data[[#This Row],[Garde / Interv.]]="Intervention",data[[#This Row],[NUIT1.1]]+data[[#This Row],[NUIT1.2]]+data[[#This Row],[NUIT2.1]]+data[[#This Row],[NUIT2.2]],0))</f>
        <v>0</v>
      </c>
      <c r="X4"/>
      <c r="Y4"/>
      <c r="Z4"/>
      <c r="AA4"/>
      <c r="AB4"/>
      <c r="AC4"/>
    </row>
    <row r="5" spans="1:29" x14ac:dyDescent="0.35">
      <c r="A5" s="41">
        <v>43101</v>
      </c>
      <c r="B5" s="54" t="s">
        <v>3</v>
      </c>
      <c r="C5" s="41"/>
      <c r="F5" s="22">
        <v>0.78125</v>
      </c>
      <c r="G5" s="22">
        <v>0.84513888888888899</v>
      </c>
      <c r="H5" s="44">
        <f>IF(data[[#This Row],[Hdébut garde]]&lt;&gt;"",
data[[#This Row],[Hdébut garde]],
data[[#This Row],[Hdébut interv.]]+IF(data[[#This Row],[Hdébut interv.]]&lt;SUMPRODUCT((data[Date]=data[[#This Row],[Date]])*data[Hdébut garde]),1,0)
)</f>
        <v>0.78125</v>
      </c>
      <c r="I5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0.84513888888888899</v>
      </c>
      <c r="J5" s="45" t="str">
        <f>IF(data[[#This Row],[Hdébut garde]]&lt;&gt;"","Garde",IF(data[[#This Row],[Hdébut corrigé]]&lt;&gt;"","Intervention",""))</f>
        <v>Intervention</v>
      </c>
      <c r="K5" s="55" t="str">
        <f>IF(OR(WEEKDAY(data[[#This Row],[Date]],2)=7,COUNTIF(JF,data[[#This Row],[Date]])=1),"oui","non")</f>
        <v>oui</v>
      </c>
      <c r="L5" s="47">
        <f>MAX(0,(MIN(1,data[[#This Row],[Hfin corrigée]])-data[[#This Row],[Hdébut corrigé]])-data[[#This Row],[NUIT1.1]]-data[[#This Row],[NUIT1.2]])</f>
        <v>6.3888888888888995E-2</v>
      </c>
      <c r="M5" s="47">
        <f>IF(data[[#This Row],[Hfin Interv.]]="",0,(
MIN(FinNuit,MIN(1,data[[#This Row],[Hfin corrigée]]))-MIN(FinNuit,data[[#This Row],[Hdébut corrigé]])
))</f>
        <v>0</v>
      </c>
      <c r="N5" s="47">
        <f>MAX(0,(MAX(0,(MIN(1,data[[#This Row],[Hfin corrigée]])-DebNuit))-MAX(0,(data[[#This Row],[Hdébut corrigé]]-DebNuit))))</f>
        <v>0</v>
      </c>
      <c r="O5" s="55" t="str">
        <f>IF(OR(WEEKDAY(data[[#This Row],[Date]]+data[[#This Row],[Hfin corrigée]],2)=7,COUNTIF(JF,INT(data[[#This Row],[Date]]+data[[#This Row],[Hfin corrigée]]))=1),"oui","non")</f>
        <v>oui</v>
      </c>
      <c r="P5" s="47">
        <f>MAX(0,data[[#This Row],[Hfin corrigée]]-MAX(1,data[[#This Row],[Hdébut corrigé]]))-data[[#This Row],[NUIT2.1]]-data[[#This Row],[NUIT2.2]]</f>
        <v>0</v>
      </c>
      <c r="Q5" s="47">
        <f>MAX(0,MIN(1+FinNuit,data[[#This Row],[Hfin corrigée]])-MAX(1,data[[#This Row],[Hdébut corrigé]]))</f>
        <v>0</v>
      </c>
      <c r="R5" s="47">
        <f>MAX(0,(data[[#This Row],[Hfin corrigée]]-DebNuit-1))</f>
        <v>0</v>
      </c>
      <c r="S5" s="47">
        <f>IF(data[[#This Row],[Garde / Interv.]]="Intervention",MAX(0,data[[#This Row],[Hfin corrigée]]-SUMPRODUCT((data[Date]=data[[#This Row],[Date]])*(data[Garde / Interv.]="Garde")*data[Hfin corrigée])),0)</f>
        <v>0</v>
      </c>
      <c r="T5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5" s="47">
        <f>MAX(0,IF(data[[#This Row],[Garde / Interv.]]="Intervention",(data[[#This Row],[Fin Dim ou Férié]]="non")*data[[#This Row],[JOUR2]]+(data[[#This Row],[Début Dim ou Férié]]="non")*data[[#This Row],[JOUR1]],0))</f>
        <v>0</v>
      </c>
      <c r="V5" s="56">
        <f>IF(data[[#This Row],[Garde / Interv.]]="Intervention",(data[[#This Row],[Fin Dim ou Férié]]="oui")*data[[#This Row],[JOUR2]]+(data[[#This Row],[Début Dim ou Férié]]="oui")*data[[#This Row],[JOUR1]],0)</f>
        <v>6.3888888888888995E-2</v>
      </c>
      <c r="W5" s="47">
        <f>MAX(0,IF(data[[#This Row],[Garde / Interv.]]="Intervention",data[[#This Row],[NUIT1.1]]+data[[#This Row],[NUIT1.2]]+data[[#This Row],[NUIT2.1]]+data[[#This Row],[NUIT2.2]],0))</f>
        <v>0</v>
      </c>
      <c r="X5"/>
      <c r="Y5"/>
      <c r="Z5"/>
      <c r="AA5"/>
      <c r="AB5"/>
      <c r="AC5"/>
    </row>
    <row r="6" spans="1:29" x14ac:dyDescent="0.35">
      <c r="A6" s="41">
        <v>43246</v>
      </c>
      <c r="B6" s="42"/>
      <c r="D6" s="22">
        <v>0.5</v>
      </c>
      <c r="E6" s="22">
        <v>0.33333333333333331</v>
      </c>
      <c r="H6" s="44">
        <f>IF(data[[#This Row],[Hdébut garde]]&lt;&gt;"",
data[[#This Row],[Hdébut garde]],
data[[#This Row],[Hdébut interv.]]+IF(data[[#This Row],[Hdébut interv.]]&lt;SUMPRODUCT((data[Date]=data[[#This Row],[Date]])*data[Hdébut garde]),1,0)
)</f>
        <v>0.5</v>
      </c>
      <c r="I6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J6" s="45" t="str">
        <f>IF(data[[#This Row],[Hdébut garde]]&lt;&gt;"","Garde",IF(data[[#This Row],[Hdébut corrigé]]&lt;&gt;"","Intervention",""))</f>
        <v>Garde</v>
      </c>
      <c r="K6" s="45" t="str">
        <f>IF(OR(WEEKDAY(data[[#This Row],[Date]],2)=7,COUNTIF(JF,data[[#This Row],[Date]])=1),"oui","non")</f>
        <v>non</v>
      </c>
      <c r="L6" s="46">
        <f>MAX(0,(MIN(1,data[[#This Row],[Hfin corrigée]])-data[[#This Row],[Hdébut corrigé]])-data[[#This Row],[NUIT1.1]]-data[[#This Row],[NUIT1.2]])</f>
        <v>0.41666666666666663</v>
      </c>
      <c r="M6" s="46">
        <f>IF(data[[#This Row],[Hfin Interv.]]="",0,(
MIN(FinNuit,MIN(1,data[[#This Row],[Hfin corrigée]]))-MIN(FinNuit,data[[#This Row],[Hdébut corrigé]])
))</f>
        <v>0</v>
      </c>
      <c r="N6" s="46">
        <f>MAX(0,(MAX(0,(MIN(1,data[[#This Row],[Hfin corrigée]])-DebNuit))-MAX(0,(data[[#This Row],[Hdébut corrigé]]-DebNuit))))</f>
        <v>8.333333333333337E-2</v>
      </c>
      <c r="O6" s="45" t="str">
        <f>IF(OR(WEEKDAY(data[[#This Row],[Date]]+data[[#This Row],[Hfin corrigée]],2)=7,COUNTIF(JF,INT(data[[#This Row],[Date]]+data[[#This Row],[Hfin corrigée]]))=1),"oui","non")</f>
        <v>oui</v>
      </c>
      <c r="P6" s="46">
        <f>MAX(0,data[[#This Row],[Hfin corrigée]]-MAX(1,data[[#This Row],[Hdébut corrigé]]))-data[[#This Row],[NUIT2.1]]-data[[#This Row],[NUIT2.2]]</f>
        <v>4.1666666666666519E-2</v>
      </c>
      <c r="Q6" s="46">
        <f>MAX(0,MIN(1+FinNuit,data[[#This Row],[Hfin corrigée]])-MAX(1,data[[#This Row],[Hdébut corrigé]]))</f>
        <v>0.29166666666666674</v>
      </c>
      <c r="R6" s="46">
        <f>MAX(0,(data[[#This Row],[Hfin corrigée]]-DebNuit-1))</f>
        <v>0</v>
      </c>
      <c r="S6" s="46">
        <f>IF(data[[#This Row],[Garde / Interv.]]="Intervention",MAX(0,data[[#This Row],[Hfin corrigée]]-SUMPRODUCT((data[Date]=data[[#This Row],[Date]])*(data[Garde / Interv.]="Garde")*data[Hfin corrigée])),0)</f>
        <v>0</v>
      </c>
      <c r="T6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0.5347222222222221</v>
      </c>
      <c r="U6" s="47">
        <f>MAX(0,IF(data[[#This Row],[Garde / Interv.]]="Intervention",(data[[#This Row],[Fin Dim ou Férié]]="non")*data[[#This Row],[JOUR2]]+(data[[#This Row],[Début Dim ou Férié]]="non")*data[[#This Row],[JOUR1]],0))</f>
        <v>0</v>
      </c>
      <c r="V6" s="47">
        <f>IF(data[[#This Row],[Garde / Interv.]]="Intervention",(data[[#This Row],[Fin Dim ou Férié]]="oui")*data[[#This Row],[JOUR2]]+(data[[#This Row],[Début Dim ou Férié]]="oui")*data[[#This Row],[JOUR1]],0)</f>
        <v>0</v>
      </c>
      <c r="W6" s="47">
        <f>MAX(0,IF(data[[#This Row],[Garde / Interv.]]="Intervention",data[[#This Row],[NUIT1.1]]+data[[#This Row],[NUIT1.2]]+data[[#This Row],[NUIT2.1]]+data[[#This Row],[NUIT2.2]],0))</f>
        <v>0</v>
      </c>
      <c r="X6"/>
      <c r="Y6"/>
      <c r="Z6"/>
      <c r="AA6"/>
      <c r="AB6"/>
      <c r="AC6"/>
    </row>
    <row r="7" spans="1:29" s="21" customFormat="1" x14ac:dyDescent="0.35">
      <c r="A7" s="41">
        <v>43246</v>
      </c>
      <c r="B7" s="42" t="s">
        <v>5</v>
      </c>
      <c r="C7" s="42"/>
      <c r="D7" s="22"/>
      <c r="E7" s="22"/>
      <c r="F7" s="22">
        <v>0.51388888888888895</v>
      </c>
      <c r="G7" s="22">
        <v>0.6430555555555556</v>
      </c>
      <c r="H7" s="44">
        <f>IF(data[[#This Row],[Hdébut garde]]&lt;&gt;"",
data[[#This Row],[Hdébut garde]],
data[[#This Row],[Hdébut interv.]]+IF(data[[#This Row],[Hdébut interv.]]&lt;SUMPRODUCT((data[Date]=data[[#This Row],[Date]])*data[Hdébut garde]),1,0)
)</f>
        <v>0.51388888888888895</v>
      </c>
      <c r="I7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0.6430555555555556</v>
      </c>
      <c r="J7" s="45" t="str">
        <f>IF(data[[#This Row],[Hdébut garde]]&lt;&gt;"","Garde",IF(data[[#This Row],[Hdébut corrigé]]&lt;&gt;"","Intervention",""))</f>
        <v>Intervention</v>
      </c>
      <c r="K7" s="45" t="str">
        <f>IF(OR(WEEKDAY(data[[#This Row],[Date]],2)=7,COUNTIF(JF,data[[#This Row],[Date]])=1),"oui","non")</f>
        <v>non</v>
      </c>
      <c r="L7" s="46">
        <f>MAX(0,(MIN(1,data[[#This Row],[Hfin corrigée]])-data[[#This Row],[Hdébut corrigé]])-data[[#This Row],[NUIT1.1]]-data[[#This Row],[NUIT1.2]])</f>
        <v>0.12916666666666665</v>
      </c>
      <c r="M7" s="46">
        <f>IF(data[[#This Row],[Hfin Interv.]]="",0,(
MIN(FinNuit,MIN(1,data[[#This Row],[Hfin corrigée]]))-MIN(FinNuit,data[[#This Row],[Hdébut corrigé]])
))</f>
        <v>0</v>
      </c>
      <c r="N7" s="46">
        <f>MAX(0,(MAX(0,(MIN(1,data[[#This Row],[Hfin corrigée]])-DebNuit))-MAX(0,(data[[#This Row],[Hdébut corrigé]]-DebNuit))))</f>
        <v>0</v>
      </c>
      <c r="O7" s="45" t="str">
        <f>IF(OR(WEEKDAY(data[[#This Row],[Date]]+data[[#This Row],[Hfin corrigée]],2)=7,COUNTIF(JF,INT(data[[#This Row],[Date]]+data[[#This Row],[Hfin corrigée]]))=1),"oui","non")</f>
        <v>non</v>
      </c>
      <c r="P7" s="46">
        <f>MAX(0,data[[#This Row],[Hfin corrigée]]-MAX(1,data[[#This Row],[Hdébut corrigé]]))-data[[#This Row],[NUIT2.1]]-data[[#This Row],[NUIT2.2]]</f>
        <v>0</v>
      </c>
      <c r="Q7" s="46">
        <f>MAX(0,MIN(1+FinNuit,data[[#This Row],[Hfin corrigée]])-MAX(1,data[[#This Row],[Hdébut corrigé]]))</f>
        <v>0</v>
      </c>
      <c r="R7" s="46">
        <f>MAX(0,(data[[#This Row],[Hfin corrigée]]-DebNuit-1))</f>
        <v>0</v>
      </c>
      <c r="S7" s="46">
        <f>IF(data[[#This Row],[Garde / Interv.]]="Intervention",MAX(0,data[[#This Row],[Hfin corrigée]]-SUMPRODUCT((data[Date]=data[[#This Row],[Date]])*(data[Garde / Interv.]="Garde")*data[Hfin corrigée])),0)</f>
        <v>0</v>
      </c>
      <c r="T7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7" s="47">
        <f>MAX(0,IF(data[[#This Row],[Garde / Interv.]]="Intervention",(data[[#This Row],[Fin Dim ou Férié]]="non")*data[[#This Row],[JOUR2]]+(data[[#This Row],[Début Dim ou Férié]]="non")*data[[#This Row],[JOUR1]],0))</f>
        <v>0.12916666666666665</v>
      </c>
      <c r="V7" s="47">
        <f>IF(data[[#This Row],[Garde / Interv.]]="Intervention",(data[[#This Row],[Fin Dim ou Férié]]="oui")*data[[#This Row],[JOUR2]]+(data[[#This Row],[Début Dim ou Férié]]="oui")*data[[#This Row],[JOUR1]],0)</f>
        <v>0</v>
      </c>
      <c r="W7" s="47">
        <f>MAX(0,IF(data[[#This Row],[Garde / Interv.]]="Intervention",data[[#This Row],[NUIT1.1]]+data[[#This Row],[NUIT1.2]]+data[[#This Row],[NUIT2.1]]+data[[#This Row],[NUIT2.2]],0))</f>
        <v>0</v>
      </c>
    </row>
    <row r="8" spans="1:29" x14ac:dyDescent="0.35">
      <c r="A8" s="41">
        <v>43246</v>
      </c>
      <c r="B8" s="42" t="s">
        <v>3</v>
      </c>
      <c r="C8" s="42"/>
      <c r="F8" s="22">
        <v>0.875</v>
      </c>
      <c r="G8" s="22">
        <v>4.4444444444444446E-2</v>
      </c>
      <c r="H8" s="44">
        <f>IF(data[[#This Row],[Hdébut garde]]&lt;&gt;"",
data[[#This Row],[Hdébut garde]],
data[[#This Row],[Hdébut interv.]]+IF(data[[#This Row],[Hdébut interv.]]&lt;SUMPRODUCT((data[Date]=data[[#This Row],[Date]])*data[Hdébut garde]),1,0)
)</f>
        <v>0.875</v>
      </c>
      <c r="I8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1.0444444444444445</v>
      </c>
      <c r="J8" s="45" t="str">
        <f>IF(data[[#This Row],[Hdébut garde]]&lt;&gt;"","Garde",IF(data[[#This Row],[Hdébut corrigé]]&lt;&gt;"","Intervention",""))</f>
        <v>Intervention</v>
      </c>
      <c r="K8" s="45" t="str">
        <f>IF(OR(WEEKDAY(data[[#This Row],[Date]],2)=7,COUNTIF(JF,data[[#This Row],[Date]])=1),"oui","non")</f>
        <v>non</v>
      </c>
      <c r="L8" s="46">
        <f>MAX(0,(MIN(1,data[[#This Row],[Hfin corrigée]])-data[[#This Row],[Hdébut corrigé]])-data[[#This Row],[NUIT1.1]]-data[[#This Row],[NUIT1.2]])</f>
        <v>4.166666666666663E-2</v>
      </c>
      <c r="M8" s="46">
        <f>IF(data[[#This Row],[Hfin Interv.]]="",0,(
MIN(FinNuit,MIN(1,data[[#This Row],[Hfin corrigée]]))-MIN(FinNuit,data[[#This Row],[Hdébut corrigé]])
))</f>
        <v>0</v>
      </c>
      <c r="N8" s="46">
        <f>MAX(0,(MAX(0,(MIN(1,data[[#This Row],[Hfin corrigée]])-DebNuit))-MAX(0,(data[[#This Row],[Hdébut corrigé]]-DebNuit))))</f>
        <v>8.333333333333337E-2</v>
      </c>
      <c r="O8" s="45" t="str">
        <f>IF(OR(WEEKDAY(data[[#This Row],[Date]]+data[[#This Row],[Hfin corrigée]],2)=7,COUNTIF(JF,INT(data[[#This Row],[Date]]+data[[#This Row],[Hfin corrigée]]))=1),"oui","non")</f>
        <v>oui</v>
      </c>
      <c r="P8" s="46">
        <f>MAX(0,data[[#This Row],[Hfin corrigée]]-MAX(1,data[[#This Row],[Hdébut corrigé]]))-data[[#This Row],[NUIT2.1]]-data[[#This Row],[NUIT2.2]]</f>
        <v>0</v>
      </c>
      <c r="Q8" s="46">
        <f>MAX(0,MIN(1+FinNuit,data[[#This Row],[Hfin corrigée]])-MAX(1,data[[#This Row],[Hdébut corrigé]]))</f>
        <v>4.4444444444444509E-2</v>
      </c>
      <c r="R8" s="46">
        <f>MAX(0,(data[[#This Row],[Hfin corrigée]]-DebNuit-1))</f>
        <v>0</v>
      </c>
      <c r="S8" s="46">
        <f>IF(data[[#This Row],[Garde / Interv.]]="Intervention",MAX(0,data[[#This Row],[Hfin corrigée]]-SUMPRODUCT((data[Date]=data[[#This Row],[Date]])*(data[Garde / Interv.]="Garde")*data[Hfin corrigée])),0)</f>
        <v>0</v>
      </c>
      <c r="T8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8" s="47">
        <f>MAX(0,IF(data[[#This Row],[Garde / Interv.]]="Intervention",(data[[#This Row],[Fin Dim ou Férié]]="non")*data[[#This Row],[JOUR2]]+(data[[#This Row],[Début Dim ou Férié]]="non")*data[[#This Row],[JOUR1]],0))</f>
        <v>4.166666666666663E-2</v>
      </c>
      <c r="V8" s="47">
        <f>IF(data[[#This Row],[Garde / Interv.]]="Intervention",(data[[#This Row],[Fin Dim ou Férié]]="oui")*data[[#This Row],[JOUR2]]+(data[[#This Row],[Début Dim ou Férié]]="oui")*data[[#This Row],[JOUR1]],0)</f>
        <v>0</v>
      </c>
      <c r="W8" s="47">
        <f>MAX(0,IF(data[[#This Row],[Garde / Interv.]]="Intervention",data[[#This Row],[NUIT1.1]]+data[[#This Row],[NUIT1.2]]+data[[#This Row],[NUIT2.1]]+data[[#This Row],[NUIT2.2]],0))</f>
        <v>0.12777777777777788</v>
      </c>
      <c r="X8"/>
      <c r="Y8"/>
      <c r="Z8"/>
      <c r="AA8"/>
      <c r="AB8"/>
      <c r="AC8"/>
    </row>
    <row r="9" spans="1:29" x14ac:dyDescent="0.35">
      <c r="A9" s="41">
        <v>43271</v>
      </c>
      <c r="B9" s="42"/>
      <c r="C9" s="42"/>
      <c r="D9" s="22">
        <v>0.33333333333333331</v>
      </c>
      <c r="E9" s="22">
        <v>0.33333333333333331</v>
      </c>
      <c r="H9" s="44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I9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J9" s="45" t="str">
        <f>IF(data[[#This Row],[Hdébut garde]]&lt;&gt;"","Garde",IF(data[[#This Row],[Hdébut corrigé]]&lt;&gt;"","Intervention",""))</f>
        <v>Garde</v>
      </c>
      <c r="K9" s="45" t="str">
        <f>IF(OR(WEEKDAY(data[[#This Row],[Date]],2)=7,COUNTIF(JF,data[[#This Row],[Date]])=1),"oui","non")</f>
        <v>non</v>
      </c>
      <c r="L9" s="46">
        <f>MAX(0,(MIN(1,data[[#This Row],[Hfin corrigée]])-data[[#This Row],[Hdébut corrigé]])-data[[#This Row],[NUIT1.1]]-data[[#This Row],[NUIT1.2]])</f>
        <v>0.58333333333333337</v>
      </c>
      <c r="M9" s="46">
        <f>IF(data[[#This Row],[Hfin Interv.]]="",0,(
MIN(FinNuit,MIN(1,data[[#This Row],[Hfin corrigée]]))-MIN(FinNuit,data[[#This Row],[Hdébut corrigé]])
))</f>
        <v>0</v>
      </c>
      <c r="N9" s="46">
        <f>MAX(0,(MAX(0,(MIN(1,data[[#This Row],[Hfin corrigée]])-DebNuit))-MAX(0,(data[[#This Row],[Hdébut corrigé]]-DebNuit))))</f>
        <v>8.333333333333337E-2</v>
      </c>
      <c r="O9" s="45" t="str">
        <f>IF(OR(WEEKDAY(data[[#This Row],[Date]]+data[[#This Row],[Hfin corrigée]],2)=7,COUNTIF(JF,INT(data[[#This Row],[Date]]+data[[#This Row],[Hfin corrigée]]))=1),"oui","non")</f>
        <v>non</v>
      </c>
      <c r="P9" s="46">
        <f>MAX(0,data[[#This Row],[Hfin corrigée]]-MAX(1,data[[#This Row],[Hdébut corrigé]]))-data[[#This Row],[NUIT2.1]]-data[[#This Row],[NUIT2.2]]</f>
        <v>4.1666666666666519E-2</v>
      </c>
      <c r="Q9" s="46">
        <f>MAX(0,MIN(1+FinNuit,data[[#This Row],[Hfin corrigée]])-MAX(1,data[[#This Row],[Hdébut corrigé]]))</f>
        <v>0.29166666666666674</v>
      </c>
      <c r="R9" s="46">
        <f>MAX(0,(data[[#This Row],[Hfin corrigée]]-DebNuit-1))</f>
        <v>0</v>
      </c>
      <c r="S9" s="46">
        <f>IF(data[[#This Row],[Garde / Interv.]]="Intervention",MAX(0,data[[#This Row],[Hfin corrigée]]-SUMPRODUCT((data[Date]=data[[#This Row],[Date]])*(data[Garde / Interv.]="Garde")*data[Hfin corrigée])),0)</f>
        <v>0</v>
      </c>
      <c r="T9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0.27222222222222237</v>
      </c>
      <c r="U9" s="47">
        <f>MAX(0,IF(data[[#This Row],[Garde / Interv.]]="Intervention",(data[[#This Row],[Fin Dim ou Férié]]="non")*data[[#This Row],[JOUR2]]+(data[[#This Row],[Début Dim ou Férié]]="non")*data[[#This Row],[JOUR1]],0))</f>
        <v>0</v>
      </c>
      <c r="V9" s="47">
        <f>IF(data[[#This Row],[Garde / Interv.]]="Intervention",(data[[#This Row],[Fin Dim ou Férié]]="oui")*data[[#This Row],[JOUR2]]+(data[[#This Row],[Début Dim ou Férié]]="oui")*data[[#This Row],[JOUR1]],0)</f>
        <v>0</v>
      </c>
      <c r="W9" s="47">
        <f>MAX(0,IF(data[[#This Row],[Garde / Interv.]]="Intervention",data[[#This Row],[NUIT1.1]]+data[[#This Row],[NUIT1.2]]+data[[#This Row],[NUIT2.1]]+data[[#This Row],[NUIT2.2]],0))</f>
        <v>0</v>
      </c>
      <c r="X9" s="7"/>
      <c r="Z9" s="4"/>
      <c r="AA9" s="5"/>
      <c r="AB9"/>
      <c r="AC9"/>
    </row>
    <row r="10" spans="1:29" x14ac:dyDescent="0.35">
      <c r="A10" s="48">
        <v>43271</v>
      </c>
      <c r="B10" s="49" t="s">
        <v>6</v>
      </c>
      <c r="C10" s="49"/>
      <c r="D10" s="23"/>
      <c r="E10" s="23"/>
      <c r="F10" s="23">
        <v>0.14583333333333301</v>
      </c>
      <c r="G10" s="23">
        <v>0.3125</v>
      </c>
      <c r="H10" s="50">
        <f>IF(data[[#This Row],[Hdébut garde]]&lt;&gt;"",
data[[#This Row],[Hdébut garde]],
data[[#This Row],[Hdébut interv.]]+IF(data[[#This Row],[Hdébut interv.]]&lt;SUMPRODUCT((data[Date]=data[[#This Row],[Date]])*data[Hdébut garde]),1,0)
)</f>
        <v>1.145833333333333</v>
      </c>
      <c r="I10" s="50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1.3125</v>
      </c>
      <c r="J10" s="51" t="str">
        <f>IF(data[[#This Row],[Hdébut garde]]&lt;&gt;"","Garde",IF(data[[#This Row],[Hdébut corrigé]]&lt;&gt;"","Intervention",""))</f>
        <v>Intervention</v>
      </c>
      <c r="K10" s="51" t="str">
        <f>IF(OR(WEEKDAY(data[[#This Row],[Date]],2)=7,COUNTIF(JF,data[[#This Row],[Date]])=1),"oui","non")</f>
        <v>non</v>
      </c>
      <c r="L10" s="52">
        <f>MAX(0,(MIN(1,data[[#This Row],[Hfin corrigée]])-data[[#This Row],[Hdébut corrigé]])-data[[#This Row],[NUIT1.1]]-data[[#This Row],[NUIT1.2]])</f>
        <v>0</v>
      </c>
      <c r="M10" s="52">
        <f>IF(data[[#This Row],[Hfin Interv.]]="",0,(
MIN(FinNuit,MIN(1,data[[#This Row],[Hfin corrigée]]))-MIN(FinNuit,data[[#This Row],[Hdébut corrigé]])
))</f>
        <v>0</v>
      </c>
      <c r="N10" s="52">
        <f>MAX(0,(MAX(0,(MIN(1,data[[#This Row],[Hfin corrigée]])-DebNuit))-MAX(0,(data[[#This Row],[Hdébut corrigé]]-DebNuit))))</f>
        <v>0</v>
      </c>
      <c r="O10" s="51" t="str">
        <f>IF(OR(WEEKDAY(data[[#This Row],[Date]]+data[[#This Row],[Hfin corrigée]],2)=7,COUNTIF(JF,INT(data[[#This Row],[Date]]+data[[#This Row],[Hfin corrigée]]))=1),"oui","non")</f>
        <v>non</v>
      </c>
      <c r="P10" s="52">
        <f>MAX(0,data[[#This Row],[Hfin corrigée]]-MAX(1,data[[#This Row],[Hdébut corrigé]]))-data[[#This Row],[NUIT2.1]]-data[[#This Row],[NUIT2.2]]</f>
        <v>2.0833333333333259E-2</v>
      </c>
      <c r="Q10" s="52">
        <f>MAX(0,MIN(1+FinNuit,data[[#This Row],[Hfin corrigée]])-MAX(1,data[[#This Row],[Hdébut corrigé]]))</f>
        <v>0.1458333333333337</v>
      </c>
      <c r="R10" s="52">
        <f>MAX(0,(data[[#This Row],[Hfin corrigée]]-DebNuit-1))</f>
        <v>0</v>
      </c>
      <c r="S10" s="52">
        <f>IF(data[[#This Row],[Garde / Interv.]]="Intervention",MAX(0,data[[#This Row],[Hfin corrigée]]-SUMPRODUCT((data[Date]=data[[#This Row],[Date]])*(data[Garde / Interv.]="Garde")*data[Hfin corrigée])),0)</f>
        <v>0</v>
      </c>
      <c r="T10" s="53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0" s="53">
        <f>MAX(0,IF(data[[#This Row],[Garde / Interv.]]="Intervention",(data[[#This Row],[Fin Dim ou Férié]]="non")*data[[#This Row],[JOUR2]]+(data[[#This Row],[Début Dim ou Férié]]="non")*data[[#This Row],[JOUR1]],0))</f>
        <v>2.0833333333333259E-2</v>
      </c>
      <c r="V10" s="53">
        <f>IF(data[[#This Row],[Garde / Interv.]]="Intervention",(data[[#This Row],[Fin Dim ou Férié]]="oui")*data[[#This Row],[JOUR2]]+(data[[#This Row],[Début Dim ou Férié]]="oui")*data[[#This Row],[JOUR1]],0)</f>
        <v>0</v>
      </c>
      <c r="W10" s="53">
        <f>MAX(0,IF(data[[#This Row],[Garde / Interv.]]="Intervention",data[[#This Row],[NUIT1.1]]+data[[#This Row],[NUIT1.2]]+data[[#This Row],[NUIT2.1]]+data[[#This Row],[NUIT2.2]],0))</f>
        <v>0.1458333333333337</v>
      </c>
      <c r="X10" s="7"/>
      <c r="Z10" s="4"/>
      <c r="AA10" s="5"/>
      <c r="AB10"/>
      <c r="AC10"/>
    </row>
    <row r="11" spans="1:29" x14ac:dyDescent="0.35">
      <c r="A11" s="41">
        <v>43271</v>
      </c>
      <c r="B11" s="42" t="s">
        <v>4</v>
      </c>
      <c r="C11" s="42"/>
      <c r="F11" s="22">
        <v>0.43055555555555602</v>
      </c>
      <c r="G11" s="22">
        <v>0.9916666666666667</v>
      </c>
      <c r="H11" s="44">
        <f>IF(data[[#This Row],[Hdébut garde]]&lt;&gt;"",
data[[#This Row],[Hdébut garde]],
data[[#This Row],[Hdébut interv.]]+IF(data[[#This Row],[Hdébut interv.]]&lt;SUMPRODUCT((data[Date]=data[[#This Row],[Date]])*data[Hdébut garde]),1,0)
)</f>
        <v>0.43055555555555602</v>
      </c>
      <c r="I11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0.9916666666666667</v>
      </c>
      <c r="J11" s="45" t="str">
        <f>IF(data[[#This Row],[Hdébut garde]]&lt;&gt;"","Garde",IF(data[[#This Row],[Hdébut corrigé]]&lt;&gt;"","Intervention",""))</f>
        <v>Intervention</v>
      </c>
      <c r="K11" s="45" t="str">
        <f>IF(OR(WEEKDAY(data[[#This Row],[Date]],2)=7,COUNTIF(JF,data[[#This Row],[Date]])=1),"oui","non")</f>
        <v>non</v>
      </c>
      <c r="L11" s="46">
        <f>MAX(0,(MIN(1,data[[#This Row],[Hfin corrigée]])-data[[#This Row],[Hdébut corrigé]])-data[[#This Row],[NUIT1.1]]-data[[#This Row],[NUIT1.2]])</f>
        <v>0.48611111111111061</v>
      </c>
      <c r="M11" s="46">
        <f>IF(data[[#This Row],[Hfin Interv.]]="",0,(
MIN(FinNuit,MIN(1,data[[#This Row],[Hfin corrigée]]))-MIN(FinNuit,data[[#This Row],[Hdébut corrigé]])
))</f>
        <v>0</v>
      </c>
      <c r="N11" s="46">
        <f>MAX(0,(MAX(0,(MIN(1,data[[#This Row],[Hfin corrigée]])-DebNuit))-MAX(0,(data[[#This Row],[Hdébut corrigé]]-DebNuit))))</f>
        <v>7.5000000000000067E-2</v>
      </c>
      <c r="O11" s="45" t="str">
        <f>IF(OR(WEEKDAY(data[[#This Row],[Date]]+data[[#This Row],[Hfin corrigée]],2)=7,COUNTIF(JF,INT(data[[#This Row],[Date]]+data[[#This Row],[Hfin corrigée]]))=1),"oui","non")</f>
        <v>non</v>
      </c>
      <c r="P11" s="46">
        <f>MAX(0,data[[#This Row],[Hfin corrigée]]-MAX(1,data[[#This Row],[Hdébut corrigé]]))-data[[#This Row],[NUIT2.1]]-data[[#This Row],[NUIT2.2]]</f>
        <v>0</v>
      </c>
      <c r="Q11" s="46">
        <f>MAX(0,MIN(1+FinNuit,data[[#This Row],[Hfin corrigée]])-MAX(1,data[[#This Row],[Hdébut corrigé]]))</f>
        <v>0</v>
      </c>
      <c r="R11" s="46">
        <f>MAX(0,(data[[#This Row],[Hfin corrigée]]-DebNuit-1))</f>
        <v>0</v>
      </c>
      <c r="S11" s="46">
        <f>IF(data[[#This Row],[Garde / Interv.]]="Intervention",MAX(0,data[[#This Row],[Hfin corrigée]]-SUMPRODUCT((data[Date]=data[[#This Row],[Date]])*(data[Garde / Interv.]="Garde")*data[Hfin corrigée])),0)</f>
        <v>0</v>
      </c>
      <c r="T11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1" s="47">
        <f>MAX(0,IF(data[[#This Row],[Garde / Interv.]]="Intervention",(data[[#This Row],[Fin Dim ou Férié]]="non")*data[[#This Row],[JOUR2]]+(data[[#This Row],[Début Dim ou Férié]]="non")*data[[#This Row],[JOUR1]],0))</f>
        <v>0.48611111111111061</v>
      </c>
      <c r="V11" s="47">
        <f>IF(data[[#This Row],[Garde / Interv.]]="Intervention",(data[[#This Row],[Fin Dim ou Férié]]="oui")*data[[#This Row],[JOUR2]]+(data[[#This Row],[Début Dim ou Férié]]="oui")*data[[#This Row],[JOUR1]],0)</f>
        <v>0</v>
      </c>
      <c r="W11" s="47">
        <f>MAX(0,IF(data[[#This Row],[Garde / Interv.]]="Intervention",data[[#This Row],[NUIT1.1]]+data[[#This Row],[NUIT1.2]]+data[[#This Row],[NUIT2.1]]+data[[#This Row],[NUIT2.2]],0))</f>
        <v>7.5000000000000067E-2</v>
      </c>
      <c r="X11" s="7"/>
      <c r="Z11" s="4"/>
      <c r="AA11" s="5"/>
      <c r="AB11"/>
      <c r="AC11"/>
    </row>
    <row r="12" spans="1:29" x14ac:dyDescent="0.35">
      <c r="A12" s="41">
        <v>43295</v>
      </c>
      <c r="B12" s="42"/>
      <c r="C12" s="42"/>
      <c r="D12" s="22">
        <v>0.33333333333333331</v>
      </c>
      <c r="E12" s="22">
        <v>0.33333333333333331</v>
      </c>
      <c r="H12" s="44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I12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J12" s="45" t="str">
        <f>IF(data[[#This Row],[Hdébut garde]]&lt;&gt;"","Garde",IF(data[[#This Row],[Hdébut corrigé]]&lt;&gt;"","Intervention",""))</f>
        <v>Garde</v>
      </c>
      <c r="K12" s="45" t="str">
        <f>IF(OR(WEEKDAY(data[[#This Row],[Date]],2)=7,COUNTIF(JF,data[[#This Row],[Date]])=1),"oui","non")</f>
        <v>oui</v>
      </c>
      <c r="L12" s="46">
        <f>MAX(0,(MIN(1,data[[#This Row],[Hfin corrigée]])-data[[#This Row],[Hdébut corrigé]])-data[[#This Row],[NUIT1.1]]-data[[#This Row],[NUIT1.2]])</f>
        <v>0.58333333333333337</v>
      </c>
      <c r="M12" s="46">
        <f>IF(data[[#This Row],[Hfin Interv.]]="",0,(
MIN(FinNuit,MIN(1,data[[#This Row],[Hfin corrigée]]))-MIN(FinNuit,data[[#This Row],[Hdébut corrigé]])
))</f>
        <v>0</v>
      </c>
      <c r="N12" s="46">
        <f>MAX(0,(MAX(0,(MIN(1,data[[#This Row],[Hfin corrigée]])-DebNuit))-MAX(0,(data[[#This Row],[Hdébut corrigé]]-DebNuit))))</f>
        <v>8.333333333333337E-2</v>
      </c>
      <c r="O12" s="45" t="str">
        <f>IF(OR(WEEKDAY(data[[#This Row],[Date]]+data[[#This Row],[Hfin corrigée]],2)=7,COUNTIF(JF,INT(data[[#This Row],[Date]]+data[[#This Row],[Hfin corrigée]]))=1),"oui","non")</f>
        <v>oui</v>
      </c>
      <c r="P12" s="46">
        <f>MAX(0,data[[#This Row],[Hfin corrigée]]-MAX(1,data[[#This Row],[Hdébut corrigé]]))-data[[#This Row],[NUIT2.1]]-data[[#This Row],[NUIT2.2]]</f>
        <v>4.1666666666666519E-2</v>
      </c>
      <c r="Q12" s="46">
        <f>MAX(0,MIN(1+FinNuit,data[[#This Row],[Hfin corrigée]])-MAX(1,data[[#This Row],[Hdébut corrigé]]))</f>
        <v>0.29166666666666674</v>
      </c>
      <c r="R12" s="46">
        <f>MAX(0,(data[[#This Row],[Hfin corrigée]]-DebNuit-1))</f>
        <v>0</v>
      </c>
      <c r="S12" s="46">
        <f>IF(data[[#This Row],[Garde / Interv.]]="Intervention",MAX(0,data[[#This Row],[Hfin corrigée]]-SUMPRODUCT((data[Date]=data[[#This Row],[Date]])*(data[Garde / Interv.]="Garde")*data[Hfin corrigée])),0)</f>
        <v>0</v>
      </c>
      <c r="T12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0.6215277777777779</v>
      </c>
      <c r="U12" s="47">
        <f>MAX(0,IF(data[[#This Row],[Garde / Interv.]]="Intervention",(data[[#This Row],[Fin Dim ou Férié]]="non")*data[[#This Row],[JOUR2]]+(data[[#This Row],[Début Dim ou Férié]]="non")*data[[#This Row],[JOUR1]],0))</f>
        <v>0</v>
      </c>
      <c r="V12" s="47">
        <f>IF(data[[#This Row],[Garde / Interv.]]="Intervention",(data[[#This Row],[Fin Dim ou Férié]]="oui")*data[[#This Row],[JOUR2]]+(data[[#This Row],[Début Dim ou Férié]]="oui")*data[[#This Row],[JOUR1]],0)</f>
        <v>0</v>
      </c>
      <c r="W12" s="47">
        <f>MAX(0,IF(data[[#This Row],[Garde / Interv.]]="Intervention",data[[#This Row],[NUIT1.1]]+data[[#This Row],[NUIT1.2]]+data[[#This Row],[NUIT2.1]]+data[[#This Row],[NUIT2.2]],0))</f>
        <v>0</v>
      </c>
      <c r="X12"/>
      <c r="Y12"/>
      <c r="Z12"/>
      <c r="AA12"/>
      <c r="AB12"/>
      <c r="AC12"/>
    </row>
    <row r="13" spans="1:29" x14ac:dyDescent="0.35">
      <c r="A13" s="41">
        <v>43295</v>
      </c>
      <c r="B13" s="54" t="s">
        <v>5</v>
      </c>
      <c r="C13" s="41"/>
      <c r="F13" s="22">
        <v>0.4201388888888889</v>
      </c>
      <c r="G13" s="22">
        <v>0.59166666666666667</v>
      </c>
      <c r="H13" s="44">
        <f>IF(data[[#This Row],[Hdébut garde]]&lt;&gt;"",
data[[#This Row],[Hdébut garde]],
data[[#This Row],[Hdébut interv.]]+IF(data[[#This Row],[Hdébut interv.]]&lt;SUMPRODUCT((data[Date]=data[[#This Row],[Date]])*data[Hdébut garde]),1,0)
)</f>
        <v>0.4201388888888889</v>
      </c>
      <c r="I13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0.59166666666666667</v>
      </c>
      <c r="J13" s="45" t="str">
        <f>IF(data[[#This Row],[Hdébut garde]]&lt;&gt;"","Garde",IF(data[[#This Row],[Hdébut corrigé]]&lt;&gt;"","Intervention",""))</f>
        <v>Intervention</v>
      </c>
      <c r="K13" s="55" t="str">
        <f>IF(OR(WEEKDAY(data[[#This Row],[Date]],2)=7,COUNTIF(JF,data[[#This Row],[Date]])=1),"oui","non")</f>
        <v>oui</v>
      </c>
      <c r="L13" s="47">
        <f>MAX(0,(MIN(1,data[[#This Row],[Hfin corrigée]])-data[[#This Row],[Hdébut corrigé]])-data[[#This Row],[NUIT1.1]]-data[[#This Row],[NUIT1.2]])</f>
        <v>0.17152777777777778</v>
      </c>
      <c r="M13" s="47">
        <f>IF(data[[#This Row],[Hfin Interv.]]="",0,(
MIN(FinNuit,MIN(1,data[[#This Row],[Hfin corrigée]]))-MIN(FinNuit,data[[#This Row],[Hdébut corrigé]])
))</f>
        <v>0</v>
      </c>
      <c r="N13" s="47">
        <f>MAX(0,(MAX(0,(MIN(1,data[[#This Row],[Hfin corrigée]])-DebNuit))-MAX(0,(data[[#This Row],[Hdébut corrigé]]-DebNuit))))</f>
        <v>0</v>
      </c>
      <c r="O13" s="55" t="str">
        <f>IF(OR(WEEKDAY(data[[#This Row],[Date]]+data[[#This Row],[Hfin corrigée]],2)=7,COUNTIF(JF,INT(data[[#This Row],[Date]]+data[[#This Row],[Hfin corrigée]]))=1),"oui","non")</f>
        <v>oui</v>
      </c>
      <c r="P13" s="47">
        <f>MAX(0,data[[#This Row],[Hfin corrigée]]-MAX(1,data[[#This Row],[Hdébut corrigé]]))-data[[#This Row],[NUIT2.1]]-data[[#This Row],[NUIT2.2]]</f>
        <v>0</v>
      </c>
      <c r="Q13" s="47">
        <f>MAX(0,MIN(1+FinNuit,data[[#This Row],[Hfin corrigée]])-MAX(1,data[[#This Row],[Hdébut corrigé]]))</f>
        <v>0</v>
      </c>
      <c r="R13" s="47">
        <f>MAX(0,(data[[#This Row],[Hfin corrigée]]-DebNuit-1))</f>
        <v>0</v>
      </c>
      <c r="S13" s="47">
        <f>IF(data[[#This Row],[Garde / Interv.]]="Intervention",MAX(0,data[[#This Row],[Hfin corrigée]]-SUMPRODUCT((data[Date]=data[[#This Row],[Date]])*(data[Garde / Interv.]="Garde")*data[Hfin corrigée])),0)</f>
        <v>0</v>
      </c>
      <c r="T13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3" s="47">
        <f>MAX(0,IF(data[[#This Row],[Garde / Interv.]]="Intervention",(data[[#This Row],[Fin Dim ou Férié]]="non")*data[[#This Row],[JOUR2]]+(data[[#This Row],[Début Dim ou Férié]]="non")*data[[#This Row],[JOUR1]],0))</f>
        <v>0</v>
      </c>
      <c r="V13" s="56">
        <f>IF(data[[#This Row],[Garde / Interv.]]="Intervention",(data[[#This Row],[Fin Dim ou Férié]]="oui")*data[[#This Row],[JOUR2]]+(data[[#This Row],[Début Dim ou Férié]]="oui")*data[[#This Row],[JOUR1]],0)</f>
        <v>0.17152777777777778</v>
      </c>
      <c r="W13" s="47">
        <f>MAX(0,IF(data[[#This Row],[Garde / Interv.]]="Intervention",data[[#This Row],[NUIT1.1]]+data[[#This Row],[NUIT1.2]]+data[[#This Row],[NUIT2.1]]+data[[#This Row],[NUIT2.2]],0))</f>
        <v>0</v>
      </c>
      <c r="X13" s="7"/>
      <c r="Z13" s="4"/>
      <c r="AA13" s="5"/>
      <c r="AB13"/>
      <c r="AC13"/>
    </row>
    <row r="14" spans="1:29" x14ac:dyDescent="0.35">
      <c r="A14" s="41">
        <v>43295</v>
      </c>
      <c r="B14" s="54" t="s">
        <v>5</v>
      </c>
      <c r="C14" s="41"/>
      <c r="F14" s="22">
        <v>0.79166666666666663</v>
      </c>
      <c r="G14" s="22">
        <v>0.99861111111111101</v>
      </c>
      <c r="H14" s="44">
        <f>IF(data[[#This Row],[Hdébut garde]]&lt;&gt;"",
data[[#This Row],[Hdébut garde]],
data[[#This Row],[Hdébut interv.]]+IF(data[[#This Row],[Hdébut interv.]]&lt;SUMPRODUCT((data[Date]=data[[#This Row],[Date]])*data[Hdébut garde]),1,0)
)</f>
        <v>0.79166666666666663</v>
      </c>
      <c r="I14" s="44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0.99861111111111101</v>
      </c>
      <c r="J14" s="45" t="str">
        <f>IF(data[[#This Row],[Hdébut garde]]&lt;&gt;"","Garde",IF(data[[#This Row],[Hdébut corrigé]]&lt;&gt;"","Intervention",""))</f>
        <v>Intervention</v>
      </c>
      <c r="K14" s="55" t="str">
        <f>IF(OR(WEEKDAY(data[[#This Row],[Date]],2)=7,COUNTIF(JF,data[[#This Row],[Date]])=1),"oui","non")</f>
        <v>oui</v>
      </c>
      <c r="L14" s="47">
        <f>MAX(0,(MIN(1,data[[#This Row],[Hfin corrigée]])-data[[#This Row],[Hdébut corrigé]])-data[[#This Row],[NUIT1.1]]-data[[#This Row],[NUIT1.2]])</f>
        <v>0.125</v>
      </c>
      <c r="M14" s="47">
        <f>IF(data[[#This Row],[Hfin Interv.]]="",0,(
MIN(FinNuit,MIN(1,data[[#This Row],[Hfin corrigée]]))-MIN(FinNuit,data[[#This Row],[Hdébut corrigé]])
))</f>
        <v>0</v>
      </c>
      <c r="N14" s="47">
        <f>MAX(0,(MAX(0,(MIN(1,data[[#This Row],[Hfin corrigée]])-DebNuit))-MAX(0,(data[[#This Row],[Hdébut corrigé]]-DebNuit))))</f>
        <v>8.1944444444444375E-2</v>
      </c>
      <c r="O14" s="55" t="str">
        <f>IF(OR(WEEKDAY(data[[#This Row],[Date]]+data[[#This Row],[Hfin corrigée]],2)=7,COUNTIF(JF,INT(data[[#This Row],[Date]]+data[[#This Row],[Hfin corrigée]]))=1),"oui","non")</f>
        <v>oui</v>
      </c>
      <c r="P14" s="47">
        <f>MAX(0,data[[#This Row],[Hfin corrigée]]-MAX(1,data[[#This Row],[Hdébut corrigé]]))-data[[#This Row],[NUIT2.1]]-data[[#This Row],[NUIT2.2]]</f>
        <v>0</v>
      </c>
      <c r="Q14" s="47">
        <f>MAX(0,MIN(1+FinNuit,data[[#This Row],[Hfin corrigée]])-MAX(1,data[[#This Row],[Hdébut corrigé]]))</f>
        <v>0</v>
      </c>
      <c r="R14" s="47">
        <f>MAX(0,(data[[#This Row],[Hfin corrigée]]-DebNuit-1))</f>
        <v>0</v>
      </c>
      <c r="S14" s="47">
        <f>IF(data[[#This Row],[Garde / Interv.]]="Intervention",MAX(0,data[[#This Row],[Hfin corrigée]]-SUMPRODUCT((data[Date]=data[[#This Row],[Date]])*(data[Garde / Interv.]="Garde")*data[Hfin corrigée])),0)</f>
        <v>0</v>
      </c>
      <c r="T14" s="47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4" s="47">
        <f>MAX(0,IF(data[[#This Row],[Garde / Interv.]]="Intervention",(data[[#This Row],[Fin Dim ou Férié]]="non")*data[[#This Row],[JOUR2]]+(data[[#This Row],[Début Dim ou Férié]]="non")*data[[#This Row],[JOUR1]],0))</f>
        <v>0</v>
      </c>
      <c r="V14" s="56">
        <f>IF(data[[#This Row],[Garde / Interv.]]="Intervention",(data[[#This Row],[Fin Dim ou Férié]]="oui")*data[[#This Row],[JOUR2]]+(data[[#This Row],[Début Dim ou Férié]]="oui")*data[[#This Row],[JOUR1]],0)</f>
        <v>0.125</v>
      </c>
      <c r="W14" s="47">
        <f>MAX(0,IF(data[[#This Row],[Garde / Interv.]]="Intervention",data[[#This Row],[NUIT1.1]]+data[[#This Row],[NUIT1.2]]+data[[#This Row],[NUIT2.1]]+data[[#This Row],[NUIT2.2]],0))</f>
        <v>8.1944444444444375E-2</v>
      </c>
      <c r="X14" s="7"/>
      <c r="Z14" s="4"/>
      <c r="AA14" s="5"/>
      <c r="AB14"/>
      <c r="AC14"/>
    </row>
  </sheetData>
  <dataValidations disablePrompts="1" count="1">
    <dataValidation type="list" allowBlank="1" showInputMessage="1" showErrorMessage="1" sqref="B2:B14">
      <formula1>véhicule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"/>
  <sheetViews>
    <sheetView workbookViewId="0"/>
  </sheetViews>
  <sheetFormatPr baseColWidth="10" defaultColWidth="16" defaultRowHeight="14.5" x14ac:dyDescent="0.35"/>
  <cols>
    <col min="1" max="2" width="16" style="32"/>
    <col min="3" max="4" width="16" style="31"/>
    <col min="5" max="9" width="16" style="8"/>
    <col min="10" max="12" width="16" style="34"/>
    <col min="13" max="13" width="16" style="35"/>
    <col min="14" max="14" width="16" style="36"/>
    <col min="15" max="16384" width="16" style="31"/>
  </cols>
  <sheetData>
    <row r="1" spans="1:14" s="30" customFormat="1" x14ac:dyDescent="0.35">
      <c r="A1" s="37" t="s">
        <v>27</v>
      </c>
      <c r="B1" s="37" t="s">
        <v>14</v>
      </c>
      <c r="C1" s="38" t="s">
        <v>21</v>
      </c>
      <c r="D1" s="38" t="s">
        <v>22</v>
      </c>
      <c r="E1" s="38" t="s">
        <v>23</v>
      </c>
      <c r="F1" s="38" t="s">
        <v>24</v>
      </c>
      <c r="G1" s="38" t="s">
        <v>25</v>
      </c>
      <c r="H1" s="38" t="s">
        <v>26</v>
      </c>
    </row>
    <row r="2" spans="1:14" x14ac:dyDescent="0.35">
      <c r="A2" s="32">
        <v>0.16666666666666666</v>
      </c>
      <c r="B2" s="32">
        <v>0.20833333333333334</v>
      </c>
      <c r="C2" s="33">
        <f>MAX(0,(MIN(1,test[[#This Row],[Hfin corrigée]])-test[[#This Row],[Hdébut corrigé]])-test[[#This Row],[NUIT1.1]]-test[[#This Row],[NUIT1.2]])</f>
        <v>0</v>
      </c>
      <c r="D2" s="33">
        <f>MIN(FinNuit,MIN(1,test[[#This Row],[Hfin corrigée]]))-MIN(FinNuit,test[[#This Row],[Hdébut corrigé]])</f>
        <v>4.1666666666666685E-2</v>
      </c>
      <c r="E2" s="33">
        <f>MAX(0,(MAX(0,(MIN(1,test[[#This Row],[Hfin corrigée]])-DebNuit))-MAX(0,(test[[#This Row],[Hdébut corrigé]]-DebNuit))))</f>
        <v>0</v>
      </c>
      <c r="F2" s="33">
        <f>MAX(0,test[[#This Row],[Hfin corrigée]]-MAX(1,test[[#This Row],[Hdébut corrigé]]))-test[[#This Row],[NUIT2.1]]-test[[#This Row],[NUIT2.2]]</f>
        <v>0</v>
      </c>
      <c r="G2" s="33">
        <f>MAX(0,MIN(1+FinNuit,test[[#This Row],[Hfin corrigée]])-MAX(1,test[[#This Row],[Hdébut corrigé]]))</f>
        <v>0</v>
      </c>
      <c r="H2" s="33">
        <f>MAX(0,(test[[#This Row],[Hfin corrigée]]-DebNuit-1))</f>
        <v>0</v>
      </c>
      <c r="I2" s="31"/>
      <c r="J2" s="31"/>
      <c r="K2" s="31"/>
      <c r="L2" s="31"/>
      <c r="M2" s="31"/>
      <c r="N2" s="31"/>
    </row>
    <row r="3" spans="1:14" x14ac:dyDescent="0.35">
      <c r="A3" s="32">
        <v>0.16666666666666666</v>
      </c>
      <c r="B3" s="32">
        <v>0.375</v>
      </c>
      <c r="C3" s="33">
        <f>MAX(0,(MIN(1,test[[#This Row],[Hfin corrigée]])-test[[#This Row],[Hdébut corrigé]])-test[[#This Row],[NUIT1.1]]-test[[#This Row],[NUIT1.2]])</f>
        <v>8.3333333333333315E-2</v>
      </c>
      <c r="D3" s="33">
        <f>MIN(FinNuit,MIN(1,test[[#This Row],[Hfin corrigée]]))-MIN(FinNuit,test[[#This Row],[Hdébut corrigé]])</f>
        <v>0.12500000000000003</v>
      </c>
      <c r="E3" s="33">
        <f>MAX(0,(MAX(0,(MIN(1,test[[#This Row],[Hfin corrigée]])-DebNuit))-MAX(0,(test[[#This Row],[Hdébut corrigé]]-DebNuit))))</f>
        <v>0</v>
      </c>
      <c r="F3" s="33">
        <f>MAX(0,test[[#This Row],[Hfin corrigée]]-MAX(1,test[[#This Row],[Hdébut corrigé]]))-test[[#This Row],[NUIT2.1]]-test[[#This Row],[NUIT2.2]]</f>
        <v>0</v>
      </c>
      <c r="G3" s="33">
        <f>MAX(0,MIN(1+FinNuit,test[[#This Row],[Hfin corrigée]])-MAX(1,test[[#This Row],[Hdébut corrigé]]))</f>
        <v>0</v>
      </c>
      <c r="H3" s="33">
        <f>MAX(0,(test[[#This Row],[Hfin corrigée]]-DebNuit-1))</f>
        <v>0</v>
      </c>
      <c r="I3" s="31"/>
      <c r="J3" s="31"/>
      <c r="K3" s="31"/>
      <c r="L3" s="31"/>
      <c r="M3" s="31"/>
      <c r="N3" s="31"/>
    </row>
    <row r="4" spans="1:14" x14ac:dyDescent="0.35">
      <c r="A4" s="32">
        <v>0.16666666666666666</v>
      </c>
      <c r="B4" s="32">
        <v>0.75</v>
      </c>
      <c r="C4" s="34">
        <f>MAX(0,(MIN(1,test[[#This Row],[Hfin corrigée]])-test[[#This Row],[Hdébut corrigé]])-test[[#This Row],[NUIT1.1]]-test[[#This Row],[NUIT1.2]])</f>
        <v>0.45833333333333337</v>
      </c>
      <c r="D4" s="34">
        <f>MIN(FinNuit,MIN(1,test[[#This Row],[Hfin corrigée]]))-MIN(FinNuit,test[[#This Row],[Hdébut corrigé]])</f>
        <v>0.12500000000000003</v>
      </c>
      <c r="E4" s="34">
        <f>MAX(0,(MAX(0,(MIN(1,test[[#This Row],[Hfin corrigée]])-DebNuit))-MAX(0,(test[[#This Row],[Hdébut corrigé]]-DebNuit))))</f>
        <v>0</v>
      </c>
      <c r="F4" s="34">
        <f>MAX(0,test[[#This Row],[Hfin corrigée]]-MAX(1,test[[#This Row],[Hdébut corrigé]]))-test[[#This Row],[NUIT2.1]]-test[[#This Row],[NUIT2.2]]</f>
        <v>0</v>
      </c>
      <c r="G4" s="34">
        <f>MAX(0,MIN(1+FinNuit,test[[#This Row],[Hfin corrigée]])-MAX(1,test[[#This Row],[Hdébut corrigé]]))</f>
        <v>0</v>
      </c>
      <c r="H4" s="34">
        <f>MAX(0,(test[[#This Row],[Hfin corrigée]]-DebNuit-1))</f>
        <v>0</v>
      </c>
    </row>
    <row r="5" spans="1:14" x14ac:dyDescent="0.35">
      <c r="A5" s="32">
        <v>0.33333333333333331</v>
      </c>
      <c r="B5" s="32">
        <v>0.95833333333333337</v>
      </c>
      <c r="C5" s="34">
        <f>MAX(0,(MIN(1,test[[#This Row],[Hfin corrigée]])-test[[#This Row],[Hdébut corrigé]])-test[[#This Row],[NUIT1.1]]-test[[#This Row],[NUIT1.2]])</f>
        <v>0.58333333333333326</v>
      </c>
      <c r="D5" s="34">
        <f>MIN(FinNuit,MIN(1,test[[#This Row],[Hfin corrigée]]))-MIN(FinNuit,test[[#This Row],[Hdébut corrigé]])</f>
        <v>0</v>
      </c>
      <c r="E5" s="34">
        <f>MAX(0,(MAX(0,(MIN(1,test[[#This Row],[Hfin corrigée]])-DebNuit))-MAX(0,(test[[#This Row],[Hdébut corrigé]]-DebNuit))))</f>
        <v>4.1666666666666741E-2</v>
      </c>
      <c r="F5" s="34">
        <f>MAX(0,test[[#This Row],[Hfin corrigée]]-MAX(1,test[[#This Row],[Hdébut corrigé]]))-test[[#This Row],[NUIT2.1]]-test[[#This Row],[NUIT2.2]]</f>
        <v>0</v>
      </c>
      <c r="G5" s="34">
        <f>MAX(0,MIN(1+FinNuit,test[[#This Row],[Hfin corrigée]])-MAX(1,test[[#This Row],[Hdébut corrigé]]))</f>
        <v>0</v>
      </c>
      <c r="H5" s="34">
        <f>MAX(0,(test[[#This Row],[Hfin corrigée]]-DebNuit-1))</f>
        <v>0</v>
      </c>
    </row>
    <row r="6" spans="1:14" x14ac:dyDescent="0.35">
      <c r="A6" s="32">
        <v>1.0416666666666667</v>
      </c>
      <c r="B6" s="32">
        <v>1.3333333333333333</v>
      </c>
      <c r="C6" s="34">
        <f>MAX(0,(MIN(1,test[[#This Row],[Hfin corrigée]])-test[[#This Row],[Hdébut corrigé]])-test[[#This Row],[NUIT1.1]]-test[[#This Row],[NUIT1.2]])</f>
        <v>0</v>
      </c>
      <c r="D6" s="34">
        <f>MIN(FinNuit,MIN(1,test[[#This Row],[Hfin corrigée]]))-MIN(FinNuit,test[[#This Row],[Hdébut corrigé]])</f>
        <v>0</v>
      </c>
      <c r="E6" s="34">
        <f>MAX(0,(MAX(0,(MIN(1,test[[#This Row],[Hfin corrigée]])-DebNuit))-MAX(0,(test[[#This Row],[Hdébut corrigé]]-DebNuit))))</f>
        <v>0</v>
      </c>
      <c r="F6" s="34">
        <f>MAX(0,test[[#This Row],[Hfin corrigée]]-MAX(1,test[[#This Row],[Hdébut corrigé]]))-test[[#This Row],[NUIT2.1]]-test[[#This Row],[NUIT2.2]]</f>
        <v>4.1666666666666519E-2</v>
      </c>
      <c r="G6" s="34">
        <f>MAX(0,MIN(1+FinNuit,test[[#This Row],[Hfin corrigée]])-MAX(1,test[[#This Row],[Hdébut corrigé]]))</f>
        <v>0.25</v>
      </c>
      <c r="H6" s="34">
        <f>MAX(0,(test[[#This Row],[Hfin corrigée]]-DebNuit-1))</f>
        <v>0</v>
      </c>
    </row>
    <row r="7" spans="1:14" x14ac:dyDescent="0.35">
      <c r="A7" s="32">
        <v>0.16666666666666666</v>
      </c>
      <c r="B7" s="32">
        <v>0.95833333333333337</v>
      </c>
      <c r="C7" s="34">
        <f>MAX(0,(MIN(1,test[[#This Row],[Hfin corrigée]])-test[[#This Row],[Hdébut corrigé]])-test[[#This Row],[NUIT1.1]]-test[[#This Row],[NUIT1.2]])</f>
        <v>0.625</v>
      </c>
      <c r="D7" s="34">
        <f>MIN(FinNuit,MIN(1,test[[#This Row],[Hfin corrigée]]))-MIN(FinNuit,test[[#This Row],[Hdébut corrigé]])</f>
        <v>0.12500000000000003</v>
      </c>
      <c r="E7" s="34">
        <f>MAX(0,(MAX(0,(MIN(1,test[[#This Row],[Hfin corrigée]])-DebNuit))-MAX(0,(test[[#This Row],[Hdébut corrigé]]-DebNuit))))</f>
        <v>4.1666666666666741E-2</v>
      </c>
      <c r="F7" s="34">
        <f>MAX(0,test[[#This Row],[Hfin corrigée]]-MAX(1,test[[#This Row],[Hdébut corrigé]]))-test[[#This Row],[NUIT2.1]]-test[[#This Row],[NUIT2.2]]</f>
        <v>0</v>
      </c>
      <c r="G7" s="34">
        <f>MAX(0,MIN(1+FinNuit,test[[#This Row],[Hfin corrigée]])-MAX(1,test[[#This Row],[Hdébut corrigé]]))</f>
        <v>0</v>
      </c>
      <c r="H7" s="34">
        <f>MAX(0,(test[[#This Row],[Hfin corrigée]]-DebNuit-1))</f>
        <v>0</v>
      </c>
    </row>
    <row r="8" spans="1:14" x14ac:dyDescent="0.35">
      <c r="A8" s="32">
        <v>0.5</v>
      </c>
      <c r="B8" s="32">
        <v>1.6666666666666667</v>
      </c>
      <c r="C8" s="34">
        <f>MAX(0,(MIN(1,test[[#This Row],[Hfin corrigée]])-test[[#This Row],[Hdébut corrigé]])-test[[#This Row],[NUIT1.1]]-test[[#This Row],[NUIT1.2]])</f>
        <v>0.41666666666666663</v>
      </c>
      <c r="D8" s="34">
        <f>MIN(FinNuit,MIN(1,test[[#This Row],[Hfin corrigée]]))-MIN(FinNuit,test[[#This Row],[Hdébut corrigé]])</f>
        <v>0</v>
      </c>
      <c r="E8" s="34">
        <f>MAX(0,(MAX(0,(MIN(1,test[[#This Row],[Hfin corrigée]])-DebNuit))-MAX(0,(test[[#This Row],[Hdébut corrigé]]-DebNuit))))</f>
        <v>8.333333333333337E-2</v>
      </c>
      <c r="F8" s="34">
        <f>MAX(0,test[[#This Row],[Hfin corrigée]]-MAX(1,test[[#This Row],[Hdébut corrigé]]))-test[[#This Row],[NUIT2.1]]-test[[#This Row],[NUIT2.2]]</f>
        <v>0.375</v>
      </c>
      <c r="G8" s="34">
        <f>MAX(0,MIN(1+FinNuit,test[[#This Row],[Hfin corrigée]])-MAX(1,test[[#This Row],[Hdébut corrigé]]))</f>
        <v>0.29166666666666674</v>
      </c>
      <c r="H8" s="34">
        <f>MAX(0,(test[[#This Row],[Hfin corrigée]]-DebNuit-1))</f>
        <v>0</v>
      </c>
    </row>
    <row r="9" spans="1:14" x14ac:dyDescent="0.35">
      <c r="A9" s="32">
        <v>0</v>
      </c>
      <c r="B9" s="32">
        <v>2</v>
      </c>
      <c r="C9" s="34">
        <f>MAX(0,(MIN(1,test[[#This Row],[Hfin corrigée]])-test[[#This Row],[Hdébut corrigé]])-test[[#This Row],[NUIT1.1]]-test[[#This Row],[NUIT1.2]])</f>
        <v>0.62499999999999989</v>
      </c>
      <c r="D9" s="34">
        <f>MIN(FinNuit,MIN(1,test[[#This Row],[Hfin corrigée]]))-MIN(FinNuit,test[[#This Row],[Hdébut corrigé]])</f>
        <v>0.29166666666666669</v>
      </c>
      <c r="E9" s="34">
        <f>MAX(0,(MAX(0,(MIN(1,test[[#This Row],[Hfin corrigée]])-DebNuit))-MAX(0,(test[[#This Row],[Hdébut corrigé]]-DebNuit))))</f>
        <v>8.333333333333337E-2</v>
      </c>
      <c r="F9" s="34">
        <f>MAX(0,test[[#This Row],[Hfin corrigée]]-MAX(1,test[[#This Row],[Hdébut corrigé]]))-test[[#This Row],[NUIT2.1]]-test[[#This Row],[NUIT2.2]]</f>
        <v>0.62499999999999978</v>
      </c>
      <c r="G9" s="34">
        <f>MAX(0,MIN(1+FinNuit,test[[#This Row],[Hfin corrigée]])-MAX(1,test[[#This Row],[Hdébut corrigé]]))</f>
        <v>0.29166666666666674</v>
      </c>
      <c r="H9" s="34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9"/>
  <sheetViews>
    <sheetView workbookViewId="0"/>
  </sheetViews>
  <sheetFormatPr baseColWidth="10" defaultColWidth="11.6328125" defaultRowHeight="14.5" x14ac:dyDescent="0.35"/>
  <sheetData>
    <row r="3" spans="1:11" x14ac:dyDescent="0.35">
      <c r="C3" s="18" t="s">
        <v>37</v>
      </c>
    </row>
    <row r="4" spans="1:11" s="40" customFormat="1" ht="58" x14ac:dyDescent="0.35">
      <c r="A4" s="39" t="s">
        <v>38</v>
      </c>
      <c r="B4" s="39" t="s">
        <v>0</v>
      </c>
      <c r="C4" s="40" t="s">
        <v>55</v>
      </c>
      <c r="D4" s="40" t="s">
        <v>56</v>
      </c>
      <c r="E4" s="40" t="s">
        <v>57</v>
      </c>
      <c r="F4" s="40" t="s">
        <v>58</v>
      </c>
      <c r="G4" s="40" t="s">
        <v>59</v>
      </c>
      <c r="H4" s="40" t="s">
        <v>60</v>
      </c>
      <c r="I4" s="40" t="s">
        <v>61</v>
      </c>
      <c r="J4" s="40" t="s">
        <v>62</v>
      </c>
      <c r="K4"/>
    </row>
    <row r="5" spans="1:11" x14ac:dyDescent="0.35">
      <c r="A5" t="s">
        <v>39</v>
      </c>
      <c r="B5" s="3" t="s">
        <v>50</v>
      </c>
      <c r="C5" s="2">
        <v>0.56319444444444444</v>
      </c>
      <c r="D5" s="2">
        <v>0</v>
      </c>
      <c r="E5" s="2">
        <v>0.43680555555555556</v>
      </c>
      <c r="F5" s="2">
        <v>0</v>
      </c>
      <c r="G5" s="2">
        <v>0.57291666666666663</v>
      </c>
      <c r="H5" s="2">
        <v>0</v>
      </c>
      <c r="I5" s="2">
        <v>0.4375</v>
      </c>
      <c r="J5" s="2">
        <v>0</v>
      </c>
    </row>
    <row r="6" spans="1:11" x14ac:dyDescent="0.35">
      <c r="B6" s="3" t="s">
        <v>40</v>
      </c>
      <c r="C6" s="2">
        <v>0.53472222222222221</v>
      </c>
      <c r="D6" s="2">
        <v>0.17083333333333334</v>
      </c>
      <c r="E6" s="2">
        <v>0</v>
      </c>
      <c r="F6" s="2">
        <v>0.1277777777777778</v>
      </c>
      <c r="G6" s="2">
        <v>0.54166666666666663</v>
      </c>
      <c r="H6" s="2">
        <v>0.17708333333333334</v>
      </c>
      <c r="I6" s="2">
        <v>0</v>
      </c>
      <c r="J6" s="2">
        <v>0.13541666666666666</v>
      </c>
    </row>
    <row r="7" spans="1:11" x14ac:dyDescent="0.35">
      <c r="B7" s="3" t="s">
        <v>41</v>
      </c>
      <c r="C7" s="2">
        <v>0.2722222222222222</v>
      </c>
      <c r="D7" s="2">
        <v>0.50694444444444442</v>
      </c>
      <c r="E7" s="2">
        <v>0</v>
      </c>
      <c r="F7" s="2">
        <v>0.22083333333333333</v>
      </c>
      <c r="G7" s="2">
        <v>0.28125</v>
      </c>
      <c r="H7" s="2">
        <v>0.51041666666666663</v>
      </c>
      <c r="I7" s="2">
        <v>0</v>
      </c>
      <c r="J7" s="2">
        <v>0.22916666666666666</v>
      </c>
    </row>
    <row r="8" spans="1:11" x14ac:dyDescent="0.35">
      <c r="B8" s="3" t="s">
        <v>51</v>
      </c>
      <c r="C8" s="2">
        <v>0.62152777777777779</v>
      </c>
      <c r="D8" s="2">
        <v>0</v>
      </c>
      <c r="E8" s="2">
        <v>0.29652777777777772</v>
      </c>
      <c r="F8" s="2">
        <v>8.1944444444444445E-2</v>
      </c>
      <c r="G8" s="2">
        <v>0.625</v>
      </c>
      <c r="H8" s="2">
        <v>0</v>
      </c>
      <c r="I8" s="2">
        <v>0.30208333333333331</v>
      </c>
      <c r="J8" s="2">
        <v>8.3333333333333329E-2</v>
      </c>
    </row>
    <row r="9" spans="1:11" x14ac:dyDescent="0.35">
      <c r="A9" t="s">
        <v>36</v>
      </c>
      <c r="C9" s="2">
        <v>1.9916666666666667</v>
      </c>
      <c r="D9" s="2">
        <v>0.67777777777777781</v>
      </c>
      <c r="E9" s="2">
        <v>0.73333333333333328</v>
      </c>
      <c r="F9" s="2">
        <v>0.43055555555555552</v>
      </c>
      <c r="G9" s="2">
        <v>2</v>
      </c>
      <c r="H9" s="2">
        <v>0.6875</v>
      </c>
      <c r="I9" s="2">
        <v>0.73958333333333337</v>
      </c>
      <c r="J9" s="2">
        <v>0.4375</v>
      </c>
    </row>
  </sheetData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15" sqref="B15"/>
    </sheetView>
  </sheetViews>
  <sheetFormatPr baseColWidth="10" defaultRowHeight="14.5" x14ac:dyDescent="0.35"/>
  <cols>
    <col min="3" max="3" width="13.1796875" customWidth="1"/>
  </cols>
  <sheetData>
    <row r="1" spans="1:3" x14ac:dyDescent="0.35">
      <c r="A1" s="61" t="s">
        <v>65</v>
      </c>
      <c r="B1" s="61" t="s">
        <v>63</v>
      </c>
      <c r="C1" s="61" t="s">
        <v>64</v>
      </c>
    </row>
    <row r="2" spans="1:3" x14ac:dyDescent="0.35">
      <c r="A2" s="64">
        <v>2018</v>
      </c>
      <c r="B2" s="61" t="str">
        <f t="shared" ref="B2:B12" si="0">TEXT(DATE(YEAR(A2),ROW()-1,1),"mmm")</f>
        <v>janv</v>
      </c>
      <c r="C2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93.75</v>
      </c>
    </row>
    <row r="3" spans="1:3" x14ac:dyDescent="0.35">
      <c r="B3" s="61" t="str">
        <f t="shared" si="0"/>
        <v>févr</v>
      </c>
      <c r="C3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4" spans="1:3" x14ac:dyDescent="0.35">
      <c r="B4" s="61" t="str">
        <f t="shared" si="0"/>
        <v>mars</v>
      </c>
      <c r="C4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5" spans="1:3" x14ac:dyDescent="0.35">
      <c r="B5" s="61" t="str">
        <f t="shared" si="0"/>
        <v>avr</v>
      </c>
      <c r="C5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6" spans="1:3" x14ac:dyDescent="0.35">
      <c r="B6" s="61" t="str">
        <f t="shared" si="0"/>
        <v>mai</v>
      </c>
      <c r="C6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75.5</v>
      </c>
    </row>
    <row r="7" spans="1:3" x14ac:dyDescent="0.35">
      <c r="B7" s="61" t="str">
        <f t="shared" si="0"/>
        <v>juin</v>
      </c>
      <c r="C7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102.24999999999999</v>
      </c>
    </row>
    <row r="8" spans="1:3" x14ac:dyDescent="0.35">
      <c r="B8" s="61" t="str">
        <f t="shared" si="0"/>
        <v>juil</v>
      </c>
      <c r="C8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93.25</v>
      </c>
    </row>
    <row r="9" spans="1:3" x14ac:dyDescent="0.35">
      <c r="B9" s="61" t="str">
        <f t="shared" si="0"/>
        <v>août</v>
      </c>
      <c r="C9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0" spans="1:3" x14ac:dyDescent="0.35">
      <c r="B10" s="61" t="str">
        <f t="shared" si="0"/>
        <v>sept</v>
      </c>
      <c r="C10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1" spans="1:3" x14ac:dyDescent="0.35">
      <c r="B11" s="61" t="str">
        <f t="shared" si="0"/>
        <v>oct</v>
      </c>
      <c r="C11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2" spans="1:3" x14ac:dyDescent="0.35">
      <c r="B12" s="61" t="str">
        <f t="shared" si="0"/>
        <v>nov</v>
      </c>
      <c r="C12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3" spans="1:3" x14ac:dyDescent="0.35">
      <c r="B13" s="61" t="str">
        <f>TEXT(DATE(YEAR(A13),ROW()-1,1),"mmm")</f>
        <v>déc</v>
      </c>
      <c r="C13" s="62">
        <f>IFERROR((TAUX1*GETPIVOTDATA("Somme de Arrondi sans interv.",Synthèse!$A$3,"Date",ROW()-1,"Années",$A$2)+TAUX2*GETPIVOTDATA("Somme de Arrondi interv. jour",Synthèse!$A$3,"Date",ROW()-1,"Années",$A$2)+TAUX3*GETPIVOTDATA("Somme de Arrondi interv. dim ou férié",Synthèse!$A$3,"Date",ROW()-1,"Années",$A$2)+TAUX4*GETPIVOTDATA("Somme de Arrondi interv. nuit",Synthèse!$A$3,"Date",ROW()-1,"Années",$A$2))*24,0)</f>
        <v>0</v>
      </c>
    </row>
    <row r="14" spans="1:3" x14ac:dyDescent="0.35">
      <c r="B14" s="61" t="s">
        <v>66</v>
      </c>
      <c r="C14" s="63">
        <f>SUM(C2:C13)</f>
        <v>364.75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B9" sqref="B9"/>
    </sheetView>
  </sheetViews>
  <sheetFormatPr baseColWidth="10" defaultRowHeight="14.5" x14ac:dyDescent="0.35"/>
  <cols>
    <col min="1" max="1" width="18.36328125" bestFit="1" customWidth="1"/>
  </cols>
  <sheetData>
    <row r="1" spans="1:17" s="21" customFormat="1" x14ac:dyDescent="0.35">
      <c r="A1" s="19" t="s">
        <v>11</v>
      </c>
      <c r="B1" s="20">
        <v>2018</v>
      </c>
      <c r="C1" s="20">
        <v>2019</v>
      </c>
      <c r="D1" s="20">
        <v>2020</v>
      </c>
      <c r="E1" s="20">
        <v>2021</v>
      </c>
      <c r="F1" s="20">
        <v>2022</v>
      </c>
      <c r="G1" s="20">
        <v>2023</v>
      </c>
      <c r="H1" s="20">
        <v>2024</v>
      </c>
      <c r="I1" s="20">
        <v>2025</v>
      </c>
      <c r="J1" s="20">
        <v>2026</v>
      </c>
      <c r="K1" s="20">
        <v>2027</v>
      </c>
      <c r="L1" s="20">
        <v>2028</v>
      </c>
      <c r="M1" s="20">
        <v>2029</v>
      </c>
      <c r="N1" s="20">
        <v>2030</v>
      </c>
      <c r="O1" s="20">
        <v>2031</v>
      </c>
      <c r="P1" s="20">
        <v>2032</v>
      </c>
      <c r="Q1" s="20">
        <v>2033</v>
      </c>
    </row>
    <row r="2" spans="1:17" x14ac:dyDescent="0.35">
      <c r="A2" s="1" t="s">
        <v>42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5">
      <c r="A3" s="1" t="s">
        <v>43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5">
      <c r="A4" s="1" t="s">
        <v>7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5">
      <c r="A5" s="1" t="s">
        <v>44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5">
      <c r="A6" s="1" t="s">
        <v>45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5">
      <c r="A7" s="1" t="s">
        <v>46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5">
      <c r="A8" s="1" t="s">
        <v>47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5">
      <c r="A9" s="1" t="s">
        <v>48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5">
      <c r="A10" s="1" t="s">
        <v>8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5">
      <c r="A11" s="1" t="s">
        <v>49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5">
      <c r="A12" s="1" t="s">
        <v>9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5">
      <c r="A13" s="1" t="s">
        <v>10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4" sqref="B4"/>
    </sheetView>
  </sheetViews>
  <sheetFormatPr baseColWidth="10" defaultColWidth="10.90625" defaultRowHeight="14.5" x14ac:dyDescent="0.35"/>
  <cols>
    <col min="1" max="1" width="21.36328125" style="9" bestFit="1" customWidth="1"/>
    <col min="2" max="2" width="10.90625" style="16"/>
    <col min="3" max="16384" width="10.90625" style="9"/>
  </cols>
  <sheetData>
    <row r="1" spans="1:2" x14ac:dyDescent="0.35">
      <c r="A1" s="10" t="s">
        <v>29</v>
      </c>
      <c r="B1" s="15">
        <v>0.29166666666666669</v>
      </c>
    </row>
    <row r="2" spans="1:2" x14ac:dyDescent="0.35">
      <c r="A2" s="10" t="s">
        <v>30</v>
      </c>
      <c r="B2" s="15">
        <v>0.91666666666666663</v>
      </c>
    </row>
    <row r="4" spans="1:2" x14ac:dyDescent="0.35">
      <c r="A4" s="10" t="s">
        <v>31</v>
      </c>
      <c r="B4" s="17">
        <v>3</v>
      </c>
    </row>
    <row r="5" spans="1:2" x14ac:dyDescent="0.35">
      <c r="A5" s="10" t="s">
        <v>32</v>
      </c>
      <c r="B5" s="17">
        <v>4</v>
      </c>
    </row>
    <row r="6" spans="1:2" x14ac:dyDescent="0.35">
      <c r="A6" s="10" t="s">
        <v>33</v>
      </c>
      <c r="B6" s="17">
        <v>5</v>
      </c>
    </row>
    <row r="7" spans="1:2" x14ac:dyDescent="0.35">
      <c r="A7" s="10" t="s">
        <v>34</v>
      </c>
      <c r="B7" s="17">
        <v>6</v>
      </c>
    </row>
    <row r="9" spans="1:2" x14ac:dyDescent="0.35">
      <c r="A9" s="11" t="s">
        <v>28</v>
      </c>
      <c r="B9" s="14" t="s">
        <v>3</v>
      </c>
    </row>
    <row r="10" spans="1:2" x14ac:dyDescent="0.35">
      <c r="A10" s="12"/>
      <c r="B10" s="14" t="s">
        <v>5</v>
      </c>
    </row>
    <row r="11" spans="1:2" x14ac:dyDescent="0.35">
      <c r="A11" s="12"/>
      <c r="B11" s="14" t="s">
        <v>4</v>
      </c>
    </row>
    <row r="12" spans="1:2" x14ac:dyDescent="0.35">
      <c r="A12" s="12"/>
      <c r="B12" s="14" t="s">
        <v>6</v>
      </c>
    </row>
    <row r="13" spans="1:2" x14ac:dyDescent="0.35">
      <c r="A13" s="12"/>
      <c r="B13" s="14"/>
    </row>
    <row r="14" spans="1:2" x14ac:dyDescent="0.35">
      <c r="A14" s="13"/>
      <c r="B14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Données</vt:lpstr>
      <vt:lpstr>Test sur jour nuit</vt:lpstr>
      <vt:lpstr>Synthèse</vt:lpstr>
      <vt:lpstr>Calcul indemnités mensuelles</vt:lpstr>
      <vt:lpstr>Jours Fériés</vt:lpstr>
      <vt:lpstr>Paramètres</vt:lpstr>
      <vt:lpstr>DebNuit</vt:lpstr>
      <vt:lpstr>FinNuit</vt:lpstr>
      <vt:lpstr>JF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2018-06-02T15:55:54Z</dcterms:modified>
</cp:coreProperties>
</file>