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 tabRatio="799" activeTab="1"/>
  </bookViews>
  <sheets>
    <sheet name="Saisie du temps" sheetId="10" r:id="rId1"/>
    <sheet name="BdD" sheetId="5" r:id="rId2"/>
    <sheet name="Feuil1" sheetId="22" r:id="rId3"/>
    <sheet name="Synthèse" sheetId="20" r:id="rId4"/>
    <sheet name="Nouveau projet" sheetId="11" r:id="rId5"/>
    <sheet name="Nouvelle fonction" sheetId="21" r:id="rId6"/>
    <sheet name="Coût horaire" sheetId="9" r:id="rId7"/>
    <sheet name="Paramètres - Listes de validité" sheetId="7" r:id="rId8"/>
  </sheets>
  <externalReferences>
    <externalReference r:id="rId9"/>
  </externalReferences>
  <definedNames>
    <definedName name="_xlnm._FilterDatabase" localSheetId="0" hidden="1">'Saisie du temps'!$B$7:$B$19</definedName>
    <definedName name="_xlcn.WorksheetConnection_160519_Outilsuividutemps_Macromodifiee.xlsmTab_BdD1" hidden="1">Tab_BdD[]</definedName>
    <definedName name="_xlcn.WorksheetConnection_160519_Outilsuividutemps_Macromodifiee.xlsmTab_Projet1" hidden="1">Tab_Projet[]</definedName>
    <definedName name="_xlcn.WorksheetConnection_160519_Outilsuividutemps_Macromodifiee.xlsmTableau151" hidden="1">'Coût horaire'!$I$1:$K$6</definedName>
    <definedName name="Tab_Productif">#REF!</definedName>
    <definedName name="Tab_Prospect_Support">#REF!</definedName>
    <definedName name="Type_projet">#REF!</definedName>
  </definedNames>
  <calcPr calcId="152511"/>
  <pivotCaches>
    <pivotCache cacheId="0" r:id="rId10"/>
    <pivotCache cacheId="1" r:id="rId11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15-2ff91f16-9228-4322-89ce-81f20d5c2c43" name="Tableau15" connection="WorksheetConnection_160519_Outil suivi du temps_Macro modifiee.xlsm!Tableau15"/>
          <x15:modelTable id="Tab_Projet-e3186401-57c4-4795-83ff-a1a93130198d" name="Tab_Projet" connection="WorksheetConnection_160519_Outil suivi du temps_Macro modifiee.xlsm!Tab_Projet"/>
          <x15:modelTable id="Tab_BdD-4374b30e-efae-41eb-a077-3a4c8bf4f671" name="Tab_BdD" connection="WorksheetConnection_160519_Outil suivi du temps_Macro modifiee.xlsm!Tab_BdD"/>
        </x15:modelTables>
      </x15:dataModel>
    </ext>
  </extLst>
</workbook>
</file>

<file path=xl/calcChain.xml><?xml version="1.0" encoding="utf-8"?>
<calcChain xmlns="http://schemas.openxmlformats.org/spreadsheetml/2006/main">
  <c r="H2" i="5" l="1"/>
  <c r="H3" i="5"/>
  <c r="H4" i="5"/>
  <c r="H5" i="5"/>
  <c r="H6" i="5"/>
  <c r="H7" i="5"/>
  <c r="H8" i="5"/>
  <c r="H9" i="5"/>
  <c r="H10" i="5"/>
  <c r="H11" i="5"/>
  <c r="H12" i="5"/>
  <c r="H13" i="5"/>
  <c r="H14" i="5"/>
  <c r="H15" i="5"/>
  <c r="H16" i="5"/>
  <c r="H17" i="5"/>
  <c r="H18" i="5"/>
  <c r="H19" i="5"/>
  <c r="H20" i="5"/>
  <c r="H21" i="5"/>
  <c r="H22" i="5"/>
  <c r="H23" i="5"/>
  <c r="H24" i="5"/>
  <c r="H25" i="5"/>
  <c r="H26" i="5"/>
  <c r="H27" i="5"/>
  <c r="H28" i="5"/>
  <c r="H29" i="5"/>
  <c r="H30" i="5"/>
  <c r="I2" i="5"/>
  <c r="I3" i="5"/>
  <c r="I4" i="5"/>
  <c r="I5" i="5"/>
  <c r="I6" i="5"/>
  <c r="I7" i="5"/>
  <c r="I8" i="5"/>
  <c r="I9" i="5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N18" i="11" l="1"/>
  <c r="N19" i="11"/>
  <c r="N20" i="11"/>
  <c r="N21" i="11"/>
  <c r="N22" i="11"/>
  <c r="N23" i="11"/>
  <c r="N24" i="11"/>
  <c r="N25" i="11"/>
  <c r="N26" i="11"/>
  <c r="N27" i="11"/>
  <c r="N28" i="11"/>
  <c r="N17" i="11"/>
  <c r="G30" i="5" l="1"/>
  <c r="G29" i="5"/>
  <c r="G28" i="5"/>
  <c r="G27" i="5"/>
  <c r="G26" i="5"/>
  <c r="G25" i="5"/>
  <c r="G24" i="5"/>
  <c r="G23" i="5"/>
  <c r="G22" i="5"/>
  <c r="G21" i="5"/>
  <c r="G20" i="5"/>
  <c r="G19" i="5"/>
  <c r="G18" i="5"/>
  <c r="G17" i="5"/>
  <c r="G16" i="5"/>
  <c r="G15" i="5"/>
  <c r="G14" i="5"/>
  <c r="G13" i="5"/>
  <c r="G12" i="5"/>
  <c r="G11" i="5"/>
  <c r="G10" i="5"/>
  <c r="G9" i="5"/>
  <c r="G8" i="5"/>
  <c r="G7" i="5"/>
  <c r="G6" i="5"/>
  <c r="G5" i="5"/>
  <c r="G4" i="5"/>
  <c r="G3" i="5"/>
  <c r="G2" i="5"/>
  <c r="A27" i="11"/>
  <c r="A26" i="11" s="1"/>
  <c r="E23" i="10" l="1"/>
  <c r="E8" i="10"/>
  <c r="D8" i="10" s="1"/>
  <c r="E17" i="10"/>
  <c r="D17" i="10" s="1"/>
  <c r="E19" i="10"/>
  <c r="D19" i="10" s="1"/>
  <c r="E13" i="10"/>
  <c r="D13" i="10" s="1"/>
  <c r="A25" i="11"/>
  <c r="A24" i="11" s="1"/>
  <c r="A23" i="11" s="1"/>
  <c r="A22" i="11" s="1"/>
  <c r="A21" i="11" l="1"/>
  <c r="A20" i="11" s="1"/>
  <c r="A19" i="11" l="1"/>
  <c r="A18" i="11" s="1"/>
  <c r="C6" i="9"/>
  <c r="B6" i="9"/>
  <c r="C5" i="9"/>
  <c r="B5" i="9"/>
  <c r="C4" i="9"/>
  <c r="B4" i="9"/>
  <c r="C3" i="9"/>
  <c r="B3" i="9"/>
  <c r="C2" i="9"/>
  <c r="B2" i="9"/>
  <c r="C13" i="9"/>
  <c r="B13" i="9"/>
  <c r="C12" i="9"/>
  <c r="B12" i="9"/>
  <c r="C11" i="9"/>
  <c r="B11" i="9"/>
  <c r="D11" i="9" s="1"/>
  <c r="E11" i="9" s="1"/>
  <c r="C10" i="9"/>
  <c r="B10" i="9"/>
  <c r="D10" i="9" s="1"/>
  <c r="E10" i="9" s="1"/>
  <c r="C9" i="9"/>
  <c r="B9" i="9"/>
  <c r="D9" i="9" s="1"/>
  <c r="E9" i="9" s="1"/>
  <c r="A17" i="11" l="1"/>
  <c r="D12" i="9"/>
  <c r="E12" i="9" s="1"/>
  <c r="D13" i="9"/>
  <c r="E13" i="9" s="1"/>
  <c r="D2" i="9"/>
  <c r="E2" i="9" s="1"/>
  <c r="D3" i="9"/>
  <c r="E3" i="9" s="1"/>
  <c r="D4" i="9"/>
  <c r="E4" i="9" s="1"/>
  <c r="D5" i="9"/>
  <c r="E5" i="9" s="1"/>
  <c r="D6" i="9"/>
  <c r="E6" i="9" s="1"/>
  <c r="J2" i="9"/>
  <c r="K5" i="9"/>
  <c r="J6" i="9"/>
  <c r="J4" i="9"/>
  <c r="K2" i="9"/>
  <c r="K3" i="9"/>
  <c r="K6" i="9"/>
  <c r="K4" i="9"/>
  <c r="J3" i="9" l="1"/>
  <c r="J5" i="9"/>
  <c r="E24" i="10" l="1"/>
  <c r="D24" i="10" s="1"/>
  <c r="E28" i="10"/>
  <c r="D28" i="10" s="1"/>
  <c r="E32" i="10"/>
  <c r="E36" i="10"/>
  <c r="D36" i="10" s="1"/>
  <c r="E22" i="10"/>
  <c r="D22" i="10" s="1"/>
  <c r="E18" i="10"/>
  <c r="D18" i="10" s="1"/>
  <c r="E14" i="10"/>
  <c r="D14" i="10" s="1"/>
  <c r="E25" i="10"/>
  <c r="D25" i="10" s="1"/>
  <c r="E29" i="10"/>
  <c r="D29" i="10" s="1"/>
  <c r="E33" i="10"/>
  <c r="E37" i="10"/>
  <c r="E9" i="10"/>
  <c r="D9" i="10" s="1"/>
  <c r="E11" i="10"/>
  <c r="D11" i="10" s="1"/>
  <c r="E15" i="10"/>
  <c r="D15" i="10" s="1"/>
  <c r="E26" i="10"/>
  <c r="D26" i="10" s="1"/>
  <c r="E30" i="10"/>
  <c r="D30" i="10" s="1"/>
  <c r="E34" i="10"/>
  <c r="D34" i="10" s="1"/>
  <c r="E38" i="10"/>
  <c r="D38" i="10" s="1"/>
  <c r="E12" i="10"/>
  <c r="D12" i="10" s="1"/>
  <c r="E16" i="10"/>
  <c r="D16" i="10" s="1"/>
  <c r="D23" i="10"/>
  <c r="E27" i="10"/>
  <c r="D27" i="10" s="1"/>
  <c r="E31" i="10"/>
  <c r="D31" i="10" s="1"/>
  <c r="E35" i="10"/>
  <c r="D35" i="10" s="1"/>
  <c r="E39" i="10"/>
  <c r="D39" i="10" s="1"/>
  <c r="E10" i="10"/>
  <c r="D10" i="10" s="1"/>
  <c r="D32" i="10" l="1"/>
  <c r="D33" i="10"/>
  <c r="D37" i="10"/>
</calcChain>
</file>

<file path=xl/connections.xml><?xml version="1.0" encoding="utf-8"?>
<connections xmlns="http://schemas.openxmlformats.org/spreadsheetml/2006/main">
  <connection id="1" keepAlive="1" name="ThisWorkbookDataModel" description="Modèle de données" type="5" refreshedVersion="5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160519_Outil suivi du temps_Macro modifiee.xlsm!Tab_BdD" type="102" refreshedVersion="5" minRefreshableVersion="5">
    <extLst>
      <ext xmlns:x15="http://schemas.microsoft.com/office/spreadsheetml/2010/11/main" uri="{DE250136-89BD-433C-8126-D09CA5730AF9}">
        <x15:connection id="Tab_BdD-4374b30e-efae-41eb-a077-3a4c8bf4f671" autoDelete="1">
          <x15:rangePr sourceName="_xlcn.WorksheetConnection_160519_Outilsuividutemps_Macromodifiee.xlsmTab_BdD1"/>
        </x15:connection>
      </ext>
    </extLst>
  </connection>
  <connection id="3" name="WorksheetConnection_160519_Outil suivi du temps_Macro modifiee.xlsm!Tab_Projet" type="102" refreshedVersion="5" minRefreshableVersion="5">
    <extLst>
      <ext xmlns:x15="http://schemas.microsoft.com/office/spreadsheetml/2010/11/main" uri="{DE250136-89BD-433C-8126-D09CA5730AF9}">
        <x15:connection id="Tab_Projet-e3186401-57c4-4795-83ff-a1a93130198d">
          <x15:rangePr sourceName="_xlcn.WorksheetConnection_160519_Outilsuividutemps_Macromodifiee.xlsmTab_Projet1"/>
        </x15:connection>
      </ext>
    </extLst>
  </connection>
  <connection id="4" name="WorksheetConnection_160519_Outil suivi du temps_Macro modifiee.xlsm!Tableau15" type="102" refreshedVersion="5" minRefreshableVersion="5">
    <extLst>
      <ext xmlns:x15="http://schemas.microsoft.com/office/spreadsheetml/2010/11/main" uri="{DE250136-89BD-433C-8126-D09CA5730AF9}">
        <x15:connection id="Tableau15-2ff91f16-9228-4322-89ce-81f20d5c2c43">
          <x15:rangePr sourceName="_xlcn.WorksheetConnection_160519_Outilsuividutemps_Macromodifiee.xlsmTableau151"/>
        </x15:connection>
      </ext>
    </extLst>
  </connection>
</connections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2">
    <s v="ThisWorkbookDataModel"/>
    <s v="{[Tab_BdD].[Fonction].&amp;[Productif]}"/>
  </metadataStrings>
  <mdxMetadata count="1">
    <mdx n="0" f="s">
      <ms ns="1" c="0"/>
    </mdx>
  </mdxMetadata>
  <valueMetadata count="1">
    <bk>
      <rc t="1" v="0"/>
    </bk>
  </valueMetadata>
</metadata>
</file>

<file path=xl/sharedStrings.xml><?xml version="1.0" encoding="utf-8"?>
<sst xmlns="http://schemas.openxmlformats.org/spreadsheetml/2006/main" count="482" uniqueCount="131">
  <si>
    <t>Type projet</t>
  </si>
  <si>
    <t>Nom projet</t>
  </si>
  <si>
    <t>DOSSIER AMO ETUDES URBAINES</t>
  </si>
  <si>
    <t>DOSSIER AMO QE</t>
  </si>
  <si>
    <t>A</t>
  </si>
  <si>
    <t>B</t>
  </si>
  <si>
    <t>C</t>
  </si>
  <si>
    <t>D</t>
  </si>
  <si>
    <t>Années</t>
  </si>
  <si>
    <t>Suivi du temps horaire par semaine</t>
  </si>
  <si>
    <t>Semaine</t>
  </si>
  <si>
    <t>Salarié</t>
  </si>
  <si>
    <t>Année</t>
  </si>
  <si>
    <t>Imputation</t>
  </si>
  <si>
    <t>ID</t>
  </si>
  <si>
    <t>ligne dans la BdD</t>
  </si>
  <si>
    <t>Étiquettes de colonnes</t>
  </si>
  <si>
    <t>Total général</t>
  </si>
  <si>
    <t>Étiquettes de lignes</t>
  </si>
  <si>
    <t>Productif</t>
  </si>
  <si>
    <t>Prospect et support</t>
  </si>
  <si>
    <t xml:space="preserve">Type </t>
  </si>
  <si>
    <t>Nom</t>
  </si>
  <si>
    <t>ADMINISTRATIF ET MANAGEMENT</t>
  </si>
  <si>
    <t>GERANCE / RH</t>
  </si>
  <si>
    <t>COMPTABILITE</t>
  </si>
  <si>
    <t>ADMINISTRATIF</t>
  </si>
  <si>
    <t>REUNIONS SUIVI DES DOSSERS</t>
  </si>
  <si>
    <t>VIE DE LA SCOP (AG / EVENEMENT / REUNIONS )</t>
  </si>
  <si>
    <t>ENCADREMENT STAGIAIRE</t>
  </si>
  <si>
    <t>COMMUNICATION EXTERNE / SUPPORTS TECHNIQUES</t>
  </si>
  <si>
    <t>PROSPECTS</t>
  </si>
  <si>
    <t>CANIDATURES</t>
  </si>
  <si>
    <t>RECHERCHE OFFRES</t>
  </si>
  <si>
    <t>REPONSE OFFRE</t>
  </si>
  <si>
    <t>INTERVENTIONS (COLLOQUE / CONFERENCE)</t>
  </si>
  <si>
    <t>REUNIONS RV - PROSPECTS</t>
  </si>
  <si>
    <t>BENEVOLAT</t>
  </si>
  <si>
    <t>EVBDM - CESBA</t>
  </si>
  <si>
    <t>COMMISSION BDM</t>
  </si>
  <si>
    <t>FORMATION</t>
  </si>
  <si>
    <t>FORMATION INTERNE - DOCUMENTATION</t>
  </si>
  <si>
    <t>FORMATION EXTERNE</t>
  </si>
  <si>
    <t>DIVERS</t>
  </si>
  <si>
    <t>COUPS DE MAIN PARTENAIRES NON REMUNERES</t>
  </si>
  <si>
    <t>Autres</t>
  </si>
  <si>
    <t>VACANCES ET FERIES</t>
  </si>
  <si>
    <t>Fonction</t>
  </si>
  <si>
    <t>Type</t>
  </si>
  <si>
    <t>Type de projet</t>
  </si>
  <si>
    <t>G</t>
  </si>
  <si>
    <t>DOSSIER MOE</t>
  </si>
  <si>
    <t>O</t>
  </si>
  <si>
    <t>CONCOURS MOE</t>
  </si>
  <si>
    <t>S</t>
  </si>
  <si>
    <t>AUTRES INTERVENTIONS/SOUS-TRAITANCE</t>
  </si>
  <si>
    <t>Y</t>
  </si>
  <si>
    <t>EXPERTISES/CONSEILS/ETUDES</t>
  </si>
  <si>
    <t>Nouveau projet</t>
  </si>
  <si>
    <t>Ville</t>
  </si>
  <si>
    <t>Client</t>
  </si>
  <si>
    <t>CA prévu</t>
  </si>
  <si>
    <t>Temps prévu (en H)</t>
  </si>
  <si>
    <t>Budget mission prévu</t>
  </si>
  <si>
    <t>Répartition temps prévue (en heures)</t>
  </si>
  <si>
    <t>N°</t>
  </si>
  <si>
    <t>k</t>
  </si>
  <si>
    <t>Statut</t>
  </si>
  <si>
    <t>En cours</t>
  </si>
  <si>
    <t>Suspendu</t>
  </si>
  <si>
    <t>Finalisé</t>
  </si>
  <si>
    <t>Abandonné</t>
  </si>
  <si>
    <t>h</t>
  </si>
  <si>
    <t>b</t>
  </si>
  <si>
    <t>bg</t>
  </si>
  <si>
    <t>gg</t>
  </si>
  <si>
    <t>g</t>
  </si>
  <si>
    <t>hn</t>
  </si>
  <si>
    <t>jh,jh</t>
  </si>
  <si>
    <t>jhjh</t>
  </si>
  <si>
    <t>jh</t>
  </si>
  <si>
    <t>jjh</t>
  </si>
  <si>
    <t>Colonne1</t>
  </si>
  <si>
    <t>Coût temps</t>
  </si>
  <si>
    <t>Base Avril 2019</t>
  </si>
  <si>
    <t>Coût global</t>
  </si>
  <si>
    <t>Heures annuelles</t>
  </si>
  <si>
    <t>Coût horaire global</t>
  </si>
  <si>
    <t>Coût journée (7H)</t>
  </si>
  <si>
    <t>Base Avril 2020</t>
  </si>
  <si>
    <t>Coût horaire global par année</t>
  </si>
  <si>
    <t>Somme de Coût temps</t>
  </si>
  <si>
    <t>N° projet</t>
  </si>
  <si>
    <t>PRESTATIONS FORMATION</t>
  </si>
  <si>
    <t>AUTRES</t>
  </si>
  <si>
    <t>Colonne2</t>
  </si>
  <si>
    <t>Nouvelle fonction</t>
  </si>
  <si>
    <t>Catégorie</t>
  </si>
  <si>
    <t>F</t>
  </si>
  <si>
    <t>E</t>
  </si>
  <si>
    <t>H</t>
  </si>
  <si>
    <t>I</t>
  </si>
  <si>
    <t>J</t>
  </si>
  <si>
    <t>K</t>
  </si>
  <si>
    <t>L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</si>
  <si>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</si>
  <si>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</si>
  <si>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</si>
  <si>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</si>
  <si>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</si>
  <si>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</si>
  <si>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</si>
  <si>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</si>
  <si>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</si>
  <si>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</si>
  <si>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</si>
  <si>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</si>
  <si>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</si>
  <si>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</si>
  <si>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</si>
  <si>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</si>
  <si>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</si>
  <si>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</si>
  <si>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Coût du temps par projet, fonction et salarié</t>
  </si>
  <si>
    <t>Type de fonction</t>
  </si>
  <si>
    <t>Paramètres feuille Nouveau projet</t>
  </si>
  <si>
    <t>Paramètres feuille Saisie du temps</t>
  </si>
  <si>
    <t>Paramètres feuille Nouvelle fonction</t>
  </si>
  <si>
    <t>Montants facturés</t>
  </si>
  <si>
    <t>Nombre de Montants facturés</t>
  </si>
  <si>
    <t>3,,5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</si>
</sst>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11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0" tint="-0.34998626667073579"/>
      <name val="Calibri"/>
      <family val="2"/>
      <scheme val="minor"/>
    </font>
    <font>
      <sz val="11"/>
      <name val="Calibri"/>
      <family val="2"/>
      <scheme val="minor"/>
    </font>
    <font>
      <b/>
      <sz val="12"/>
      <color rgb="FF000000"/>
      <name val="Calibri"/>
      <family val="2"/>
    </font>
    <font>
      <b/>
      <i/>
      <sz val="12"/>
      <color theme="1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color theme="1" tint="4.9989318521683403E-2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/>
      <right style="thin">
        <color theme="0" tint="-0.34998626667073579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/>
      <bottom style="thin">
        <color theme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118">
    <xf numFmtId="0" fontId="0" fillId="0" borderId="0" xfId="0"/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2" borderId="1" xfId="0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3" borderId="1" xfId="0" applyFill="1" applyBorder="1" applyAlignment="1">
      <alignment horizontal="left" vertical="center"/>
    </xf>
    <xf numFmtId="0" fontId="0" fillId="4" borderId="1" xfId="0" applyFill="1" applyBorder="1" applyAlignment="1">
      <alignment horizontal="left" vertical="center"/>
    </xf>
    <xf numFmtId="0" fontId="0" fillId="5" borderId="1" xfId="0" applyFill="1" applyBorder="1" applyAlignment="1">
      <alignment horizontal="left" vertical="center"/>
    </xf>
    <xf numFmtId="0" fontId="0" fillId="6" borderId="1" xfId="0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Alignment="1"/>
    <xf numFmtId="0" fontId="0" fillId="10" borderId="1" xfId="0" applyFill="1" applyBorder="1" applyAlignment="1">
      <alignment horizontal="left" vertical="center"/>
    </xf>
    <xf numFmtId="0" fontId="7" fillId="10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2" fillId="11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44" fontId="1" fillId="0" borderId="7" xfId="0" applyNumberFormat="1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2" fillId="11" borderId="12" xfId="0" applyFont="1" applyFill="1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1" fillId="0" borderId="13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3" fillId="0" borderId="15" xfId="0" applyFont="1" applyFill="1" applyBorder="1" applyAlignment="1">
      <alignment vertical="center"/>
    </xf>
    <xf numFmtId="1" fontId="0" fillId="0" borderId="1" xfId="0" applyNumberFormat="1" applyBorder="1"/>
    <xf numFmtId="1" fontId="0" fillId="0" borderId="1" xfId="1" applyNumberFormat="1" applyFont="1" applyBorder="1" applyAlignment="1">
      <alignment horizontal="right"/>
    </xf>
    <xf numFmtId="2" fontId="0" fillId="0" borderId="1" xfId="0" applyNumberFormat="1" applyBorder="1"/>
    <xf numFmtId="2" fontId="0" fillId="0" borderId="0" xfId="0" applyNumberFormat="1"/>
    <xf numFmtId="0" fontId="0" fillId="1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44" fontId="0" fillId="0" borderId="1" xfId="0" applyNumberFormat="1" applyBorder="1"/>
    <xf numFmtId="1" fontId="8" fillId="0" borderId="0" xfId="0" applyNumberFormat="1" applyFont="1" applyAlignment="1">
      <alignment horizontal="center" vertical="center"/>
    </xf>
    <xf numFmtId="1" fontId="8" fillId="0" borderId="5" xfId="0" applyNumberFormat="1" applyFont="1" applyBorder="1" applyAlignment="1">
      <alignment horizontal="center" vertical="center" wrapText="1"/>
    </xf>
    <xf numFmtId="1" fontId="0" fillId="0" borderId="0" xfId="0" applyNumberFormat="1" applyAlignment="1">
      <alignment horizontal="center" vertical="center"/>
    </xf>
    <xf numFmtId="0" fontId="8" fillId="0" borderId="0" xfId="0" applyNumberFormat="1" applyFont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49" fontId="8" fillId="0" borderId="5" xfId="0" applyNumberFormat="1" applyFont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4" fontId="0" fillId="0" borderId="0" xfId="0" applyNumberFormat="1"/>
    <xf numFmtId="0" fontId="1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/>
    </xf>
    <xf numFmtId="0" fontId="7" fillId="10" borderId="16" xfId="0" applyFont="1" applyFill="1" applyBorder="1" applyAlignment="1">
      <alignment horizontal="center" vertical="center"/>
    </xf>
    <xf numFmtId="0" fontId="2" fillId="11" borderId="21" xfId="0" applyFont="1" applyFill="1" applyBorder="1" applyAlignment="1">
      <alignment vertical="center"/>
    </xf>
    <xf numFmtId="0" fontId="2" fillId="11" borderId="20" xfId="0" applyFont="1" applyFill="1" applyBorder="1" applyAlignment="1">
      <alignment vertical="center"/>
    </xf>
    <xf numFmtId="0" fontId="2" fillId="11" borderId="17" xfId="0" applyFont="1" applyFill="1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4" fillId="7" borderId="7" xfId="0" applyFont="1" applyFill="1" applyBorder="1" applyAlignment="1">
      <alignment horizontal="left" vertical="center"/>
    </xf>
    <xf numFmtId="0" fontId="0" fillId="0" borderId="8" xfId="0" applyBorder="1" applyAlignment="1">
      <alignment vertical="center"/>
    </xf>
    <xf numFmtId="0" fontId="3" fillId="10" borderId="22" xfId="0" applyFont="1" applyFill="1" applyBorder="1" applyAlignment="1">
      <alignment vertical="center"/>
    </xf>
    <xf numFmtId="0" fontId="10" fillId="10" borderId="10" xfId="0" applyFont="1" applyFill="1" applyBorder="1" applyAlignment="1">
      <alignment horizontal="center" vertical="center"/>
    </xf>
    <xf numFmtId="0" fontId="3" fillId="0" borderId="22" xfId="0" applyFont="1" applyBorder="1" applyAlignment="1">
      <alignment vertical="center"/>
    </xf>
    <xf numFmtId="0" fontId="3" fillId="0" borderId="19" xfId="0" applyFont="1" applyBorder="1" applyAlignment="1">
      <alignment horizontal="center" vertical="center"/>
    </xf>
    <xf numFmtId="0" fontId="0" fillId="0" borderId="18" xfId="0" applyBorder="1" applyAlignment="1">
      <alignment vertical="center"/>
    </xf>
    <xf numFmtId="0" fontId="0" fillId="9" borderId="0" xfId="0" applyFill="1" applyAlignment="1">
      <alignment horizontal="center" vertical="center"/>
    </xf>
    <xf numFmtId="44" fontId="0" fillId="0" borderId="23" xfId="0" applyNumberFormat="1" applyBorder="1"/>
    <xf numFmtId="49" fontId="0" fillId="0" borderId="2" xfId="0" applyNumberForma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49" fontId="0" fillId="0" borderId="11" xfId="0" applyNumberFormat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13" borderId="1" xfId="0" applyFill="1" applyBorder="1" applyAlignment="1">
      <alignment horizontal="left" vertical="center"/>
    </xf>
    <xf numFmtId="49" fontId="0" fillId="0" borderId="0" xfId="0" quotePrefix="1" applyNumberForma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left" vertical="center" wrapText="1"/>
    </xf>
    <xf numFmtId="44" fontId="1" fillId="0" borderId="3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44" fontId="8" fillId="0" borderId="5" xfId="0" applyNumberFormat="1" applyFont="1" applyBorder="1" applyAlignment="1">
      <alignment horizontal="center" vertical="center" wrapText="1"/>
    </xf>
    <xf numFmtId="0" fontId="8" fillId="0" borderId="5" xfId="0" quotePrefix="1" applyFont="1" applyBorder="1" applyAlignment="1">
      <alignment horizontal="left" vertical="center" wrapText="1"/>
    </xf>
    <xf numFmtId="1" fontId="8" fillId="0" borderId="5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1" fontId="7" fillId="10" borderId="1" xfId="0" applyNumberFormat="1" applyFont="1" applyFill="1" applyBorder="1" applyAlignment="1">
      <alignment horizontal="center" vertical="center"/>
    </xf>
    <xf numFmtId="0" fontId="2" fillId="11" borderId="3" xfId="0" applyNumberFormat="1" applyFont="1" applyFill="1" applyBorder="1" applyAlignment="1">
      <alignment vertical="center"/>
    </xf>
    <xf numFmtId="0" fontId="2" fillId="11" borderId="1" xfId="0" applyNumberFormat="1" applyFont="1" applyFill="1" applyBorder="1" applyAlignment="1">
      <alignment vertical="center"/>
    </xf>
    <xf numFmtId="0" fontId="0" fillId="0" borderId="23" xfId="0" applyBorder="1" applyAlignment="1">
      <alignment horizontal="left"/>
    </xf>
    <xf numFmtId="0" fontId="0" fillId="0" borderId="24" xfId="0" pivotButton="1" applyBorder="1"/>
    <xf numFmtId="44" fontId="0" fillId="0" borderId="24" xfId="0" applyNumberFormat="1" applyBorder="1"/>
    <xf numFmtId="0" fontId="0" fillId="0" borderId="25" xfId="0" applyBorder="1" applyAlignment="1">
      <alignment horizontal="left"/>
    </xf>
    <xf numFmtId="44" fontId="0" fillId="0" borderId="25" xfId="0" applyNumberFormat="1" applyBorder="1"/>
    <xf numFmtId="44" fontId="8" fillId="0" borderId="0" xfId="0" applyNumberFormat="1" applyFont="1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1" fillId="8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0" borderId="1" xfId="0" applyNumberFormat="1" applyBorder="1" applyAlignment="1">
      <alignment horizontal="center" vertical="center" wrapText="1"/>
    </xf>
  </cellXfs>
  <cellStyles count="2">
    <cellStyle name="Milliers" xfId="1" builtinId="3"/>
    <cellStyle name="Normal" xfId="0" builtinId="0"/>
  </cellStyles>
  <dxfs count="85">
    <dxf>
      <fill>
        <patternFill>
          <bgColor theme="8" tint="0.59996337778862885"/>
        </patternFill>
      </fill>
    </dxf>
    <dxf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9999"/>
        </patternFill>
      </fill>
    </dxf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 patternType="solid">
          <bgColor rgb="FFFFC7CE"/>
        </patternFill>
      </fill>
    </dxf>
    <dxf>
      <font>
        <color rgb="FFFF0000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9999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1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</dxf>
    <dxf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left" vertical="center" textRotation="0" wrapText="1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0" tint="-0.34998626667073579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CCFFFF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>
          <fgColor indexed="64"/>
          <bgColor theme="0"/>
        </patternFill>
      </fill>
      <border outline="0">
        <left style="thin">
          <color indexed="64"/>
        </left>
      </border>
    </dxf>
    <dxf>
      <numFmt numFmtId="0" formatCode="General"/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theme="1"/>
        </left>
        <right style="thin">
          <color indexed="64"/>
        </right>
        <top style="thin">
          <color theme="1"/>
        </top>
        <bottom style="thin">
          <color theme="1"/>
        </bottom>
      </border>
    </dxf>
    <dxf>
      <border outline="0">
        <left style="thin">
          <color indexed="64"/>
        </left>
        <right style="thin">
          <color indexed="64"/>
        </right>
      </border>
    </dxf>
    <dxf>
      <fill>
        <patternFill>
          <fgColor indexed="64"/>
          <bgColor theme="0"/>
        </patternFill>
      </fill>
    </dxf>
    <dxf>
      <font>
        <b/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C7CE"/>
      <color rgb="FFFF4F4F"/>
      <color rgb="FFFF603B"/>
      <color rgb="FFFFDEBD"/>
      <color rgb="FFCCFFFF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onnections" Target="connections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powerPivotData" Target="model/item.data"/><Relationship Id="rId2" Type="http://schemas.openxmlformats.org/officeDocument/2006/relationships/worksheet" Target="worksheets/sheet2.xml"/><Relationship Id="rId16" Type="http://schemas.openxmlformats.org/officeDocument/2006/relationships/sheetMetadata" Target="metadata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pivotCacheDefinition" Target="pivotCache/pivotCacheDefinition1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704850</xdr:colOff>
          <xdr:row>12</xdr:row>
          <xdr:rowOff>12700</xdr:rowOff>
        </xdr:from>
        <xdr:to>
          <xdr:col>4</xdr:col>
          <xdr:colOff>622300</xdr:colOff>
          <xdr:row>13</xdr:row>
          <xdr:rowOff>19050</xdr:rowOff>
        </xdr:to>
        <xdr:sp macro="" textlink="">
          <xdr:nvSpPr>
            <xdr:cNvPr id="10243" name="Button 3" hidden="1">
              <a:extLst>
                <a:ext uri="{63B3BB69-23CF-44E3-9099-C40C66FF867C}">
                  <a14:compatExt spid="_x0000_s10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le projet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eb/Desktop/JULIA_document%20de%20travail/2019_2018_FACTURATION_Suivi_modeles_TES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2019"/>
      <sheetName val="Suivi 2018"/>
      <sheetName val="Suivi 30 06 2018"/>
      <sheetName val="Factures particuliers"/>
      <sheetName val="ACCM CD-2016-06"/>
      <sheetName val="ACCM 16015D001"/>
      <sheetName val="AGGLO AUBAGNE"/>
      <sheetName val="BRUGUEROLE ND SABLONS"/>
      <sheetName val="CHATO PISCINE"/>
      <sheetName val="CHATO PISCINE COMPL"/>
      <sheetName val="Suivi COSTEBELLE"/>
      <sheetName val="COSTEBELLE avenant2"/>
      <sheetName val="CFA TP MALLEMORT"/>
      <sheetName val="ENVIROBATBDM 2"/>
      <sheetName val="I M"/>
      <sheetName val="IMMOBIO"/>
      <sheetName val="ND Fidelite Pey de Durance"/>
      <sheetName val="Détail des acomptes"/>
      <sheetName val="DEFRAIEMENT"/>
      <sheetName val="AD2I RT2012"/>
      <sheetName val="F&amp;P Duranne"/>
      <sheetName val="F &amp; PCE Jas Bouffan"/>
      <sheetName val="COBAT"/>
      <sheetName val="ENVIROBATBDM"/>
      <sheetName val="La Fare DOUMER"/>
      <sheetName val="La Fare Gpe Sco"/>
      <sheetName val="LE BEAUSSET"/>
      <sheetName val="PENNES MIRABEAU MOE G S"/>
      <sheetName val="PNR"/>
      <sheetName val="VITROLLES"/>
      <sheetName val="Indemnité forfaitaire"/>
      <sheetName val="ARLES"/>
      <sheetName val="Courthezon"/>
      <sheetName val="PUY DE BAUDON"/>
      <sheetName val="MIRABILIS"/>
      <sheetName val="plateforme renov energetique"/>
      <sheetName val="ENSAM"/>
      <sheetName val="CG 13 PREDIAG"/>
      <sheetName val="VILLA SANTO SOSPIR"/>
      <sheetName val="Divers"/>
      <sheetName val="PETILLOT BET"/>
      <sheetName val="SAINT LAURENT DU VAR"/>
      <sheetName val="SEM SORGUES"/>
      <sheetName val="Rapport sur la compatibilité"/>
    </sheetNames>
    <sheetDataSet>
      <sheetData sheetId="0"/>
      <sheetData sheetId="1">
        <row r="1">
          <cell r="E1" t="str">
            <v>N° projet</v>
          </cell>
          <cell r="J1" t="str">
            <v>H.T.</v>
          </cell>
        </row>
        <row r="2">
          <cell r="J2">
            <v>267198.59575757571</v>
          </cell>
        </row>
        <row r="5">
          <cell r="E5">
            <v>2</v>
          </cell>
          <cell r="J5">
            <v>2070.1833333333334</v>
          </cell>
        </row>
        <row r="6">
          <cell r="E6">
            <v>5</v>
          </cell>
          <cell r="J6">
            <v>2187.5</v>
          </cell>
        </row>
        <row r="7">
          <cell r="E7">
            <v>4</v>
          </cell>
          <cell r="J7">
            <v>4925</v>
          </cell>
        </row>
        <row r="8">
          <cell r="E8">
            <v>8</v>
          </cell>
          <cell r="J8">
            <v>5500</v>
          </cell>
        </row>
        <row r="9">
          <cell r="E9">
            <v>7</v>
          </cell>
          <cell r="J9">
            <v>593</v>
          </cell>
        </row>
        <row r="10">
          <cell r="E10">
            <v>2</v>
          </cell>
          <cell r="J10">
            <v>296.5</v>
          </cell>
        </row>
        <row r="11">
          <cell r="E11">
            <v>1</v>
          </cell>
          <cell r="J11">
            <v>5644.8</v>
          </cell>
        </row>
        <row r="12">
          <cell r="E12">
            <v>6</v>
          </cell>
          <cell r="J12">
            <v>2100</v>
          </cell>
        </row>
        <row r="13">
          <cell r="E13">
            <v>8</v>
          </cell>
          <cell r="J13">
            <v>547.45833333333337</v>
          </cell>
        </row>
        <row r="14">
          <cell r="E14">
            <v>5</v>
          </cell>
          <cell r="J14">
            <v>2790.15</v>
          </cell>
        </row>
        <row r="15">
          <cell r="E15">
            <v>3</v>
          </cell>
          <cell r="J15">
            <v>858.95833333333337</v>
          </cell>
        </row>
        <row r="16">
          <cell r="E16">
            <v>9</v>
          </cell>
          <cell r="J16">
            <v>1885</v>
          </cell>
        </row>
        <row r="17">
          <cell r="E17">
            <v>3</v>
          </cell>
          <cell r="J17">
            <v>3500</v>
          </cell>
        </row>
        <row r="18">
          <cell r="E18">
            <v>2</v>
          </cell>
          <cell r="J18">
            <v>3000</v>
          </cell>
        </row>
        <row r="19">
          <cell r="E19">
            <v>10</v>
          </cell>
          <cell r="J19">
            <v>2782.6583333333333</v>
          </cell>
        </row>
        <row r="20">
          <cell r="E20">
            <v>12</v>
          </cell>
          <cell r="J20">
            <v>1125</v>
          </cell>
        </row>
        <row r="21">
          <cell r="E21">
            <v>11</v>
          </cell>
          <cell r="J21">
            <v>1368.75</v>
          </cell>
        </row>
        <row r="22">
          <cell r="E22">
            <v>3</v>
          </cell>
          <cell r="J22">
            <v>1500</v>
          </cell>
        </row>
        <row r="23">
          <cell r="E23">
            <v>6</v>
          </cell>
          <cell r="J23">
            <v>350</v>
          </cell>
        </row>
        <row r="24">
          <cell r="E24">
            <v>10</v>
          </cell>
          <cell r="J24">
            <v>5025</v>
          </cell>
        </row>
        <row r="25">
          <cell r="E25">
            <v>8</v>
          </cell>
          <cell r="J25">
            <v>1200</v>
          </cell>
        </row>
        <row r="26">
          <cell r="E26">
            <v>9</v>
          </cell>
          <cell r="J26">
            <v>1260</v>
          </cell>
        </row>
        <row r="27">
          <cell r="J27">
            <v>2500</v>
          </cell>
        </row>
        <row r="28">
          <cell r="J28">
            <v>143.15833333333333</v>
          </cell>
        </row>
        <row r="29">
          <cell r="J29">
            <v>752.64166666666665</v>
          </cell>
        </row>
        <row r="30">
          <cell r="J30">
            <v>78.48</v>
          </cell>
        </row>
        <row r="31">
          <cell r="J31">
            <v>1909.9583333333333</v>
          </cell>
        </row>
        <row r="32">
          <cell r="J32">
            <v>1100</v>
          </cell>
        </row>
        <row r="33">
          <cell r="J33">
            <v>6306.291666666667</v>
          </cell>
        </row>
        <row r="34">
          <cell r="J34">
            <v>1649.8090909090909</v>
          </cell>
        </row>
        <row r="35">
          <cell r="J35">
            <v>3978.2333333333336</v>
          </cell>
        </row>
        <row r="36">
          <cell r="J36">
            <v>1720.1999999999998</v>
          </cell>
        </row>
        <row r="37">
          <cell r="J37">
            <v>8467.2000000000007</v>
          </cell>
        </row>
        <row r="38">
          <cell r="J38">
            <v>720.37500000000011</v>
          </cell>
        </row>
        <row r="39">
          <cell r="J39">
            <v>2250</v>
          </cell>
        </row>
        <row r="40">
          <cell r="J40">
            <v>5864.791666666667</v>
          </cell>
        </row>
        <row r="41">
          <cell r="J41">
            <v>143.15833333333333</v>
          </cell>
        </row>
        <row r="42">
          <cell r="J42">
            <v>143.15833333333333</v>
          </cell>
        </row>
        <row r="43">
          <cell r="J43">
            <v>1522.5</v>
          </cell>
        </row>
        <row r="44">
          <cell r="J44">
            <v>823.25</v>
          </cell>
        </row>
        <row r="45">
          <cell r="J45">
            <v>3017.8</v>
          </cell>
        </row>
        <row r="47">
          <cell r="J47">
            <v>3182.1166666666668</v>
          </cell>
        </row>
        <row r="48">
          <cell r="J48">
            <v>1102.0636363636363</v>
          </cell>
        </row>
        <row r="49">
          <cell r="J49">
            <v>2270</v>
          </cell>
        </row>
        <row r="50">
          <cell r="J50">
            <v>420</v>
          </cell>
        </row>
        <row r="52">
          <cell r="J52">
            <v>5625.7833333333328</v>
          </cell>
        </row>
        <row r="53">
          <cell r="J53">
            <v>688.08333333333337</v>
          </cell>
        </row>
        <row r="54">
          <cell r="J54">
            <v>1262.5</v>
          </cell>
        </row>
        <row r="55">
          <cell r="J55">
            <v>1875</v>
          </cell>
        </row>
        <row r="56">
          <cell r="J56">
            <v>1575</v>
          </cell>
        </row>
        <row r="57">
          <cell r="J57">
            <v>6480</v>
          </cell>
        </row>
        <row r="58">
          <cell r="J58">
            <v>6480</v>
          </cell>
        </row>
        <row r="59">
          <cell r="J59">
            <v>7526.4000000000005</v>
          </cell>
        </row>
        <row r="60">
          <cell r="J60">
            <v>1810</v>
          </cell>
        </row>
        <row r="61">
          <cell r="J61">
            <v>-6480</v>
          </cell>
        </row>
        <row r="62">
          <cell r="J62">
            <v>4032</v>
          </cell>
        </row>
        <row r="63">
          <cell r="J63">
            <v>33.883333333333333</v>
          </cell>
        </row>
        <row r="64">
          <cell r="J64">
            <v>1750</v>
          </cell>
        </row>
        <row r="65">
          <cell r="J65">
            <v>406.33333333333337</v>
          </cell>
        </row>
        <row r="66">
          <cell r="J66">
            <v>2068.4181818181819</v>
          </cell>
        </row>
        <row r="67">
          <cell r="J67">
            <v>862.30000000000007</v>
          </cell>
        </row>
        <row r="68">
          <cell r="J68">
            <v>3000</v>
          </cell>
        </row>
        <row r="69">
          <cell r="J69">
            <v>250</v>
          </cell>
        </row>
        <row r="70">
          <cell r="J70">
            <v>3300</v>
          </cell>
        </row>
        <row r="71">
          <cell r="J71">
            <v>6480</v>
          </cell>
        </row>
        <row r="72">
          <cell r="J72">
            <v>5560</v>
          </cell>
        </row>
        <row r="73">
          <cell r="J73">
            <v>1365</v>
          </cell>
        </row>
        <row r="74">
          <cell r="J74">
            <v>1401.75</v>
          </cell>
        </row>
        <row r="75">
          <cell r="J75">
            <v>83.34</v>
          </cell>
        </row>
        <row r="76">
          <cell r="J76">
            <v>-250</v>
          </cell>
        </row>
        <row r="77">
          <cell r="J77">
            <v>250</v>
          </cell>
        </row>
        <row r="78">
          <cell r="J78">
            <v>34.408333333333331</v>
          </cell>
        </row>
        <row r="79">
          <cell r="J79">
            <v>271.17500000000001</v>
          </cell>
        </row>
        <row r="80">
          <cell r="J80">
            <v>750</v>
          </cell>
        </row>
        <row r="81">
          <cell r="J81">
            <v>1707.2583333333334</v>
          </cell>
        </row>
        <row r="82">
          <cell r="J82">
            <v>2593.75</v>
          </cell>
        </row>
        <row r="83">
          <cell r="J83">
            <v>1800</v>
          </cell>
        </row>
        <row r="84">
          <cell r="J84">
            <v>1875</v>
          </cell>
        </row>
        <row r="85">
          <cell r="J85">
            <v>2200</v>
          </cell>
        </row>
        <row r="86">
          <cell r="J86">
            <v>2880</v>
          </cell>
        </row>
        <row r="87">
          <cell r="J87">
            <v>171.44166666666666</v>
          </cell>
        </row>
        <row r="88">
          <cell r="J88">
            <v>1660</v>
          </cell>
        </row>
        <row r="89">
          <cell r="J89">
            <v>2700</v>
          </cell>
        </row>
        <row r="90">
          <cell r="J90">
            <v>4869.541666666667</v>
          </cell>
        </row>
        <row r="91">
          <cell r="J91">
            <v>1650</v>
          </cell>
        </row>
        <row r="92">
          <cell r="J92">
            <v>2586.8916666666669</v>
          </cell>
        </row>
        <row r="93">
          <cell r="J93">
            <v>2119.8333333333335</v>
          </cell>
        </row>
        <row r="94">
          <cell r="J94">
            <v>539.05000000000007</v>
          </cell>
        </row>
        <row r="95">
          <cell r="J95">
            <v>3300</v>
          </cell>
        </row>
        <row r="96">
          <cell r="J96">
            <v>3317.5</v>
          </cell>
        </row>
        <row r="97">
          <cell r="J97">
            <v>585</v>
          </cell>
        </row>
        <row r="98">
          <cell r="J98">
            <v>1400</v>
          </cell>
        </row>
        <row r="99">
          <cell r="J99">
            <v>915</v>
          </cell>
        </row>
        <row r="100">
          <cell r="J100">
            <v>1333.8</v>
          </cell>
        </row>
        <row r="101">
          <cell r="J101">
            <v>1408.2181818181816</v>
          </cell>
        </row>
        <row r="102">
          <cell r="J102">
            <v>9362.8333333333339</v>
          </cell>
        </row>
        <row r="103">
          <cell r="J103">
            <v>3300</v>
          </cell>
        </row>
        <row r="104">
          <cell r="J104">
            <v>2500</v>
          </cell>
        </row>
        <row r="105">
          <cell r="J105">
            <v>133.26666666666665</v>
          </cell>
        </row>
        <row r="106">
          <cell r="J106">
            <v>684.81666666666672</v>
          </cell>
        </row>
        <row r="107">
          <cell r="J107">
            <v>865</v>
          </cell>
        </row>
        <row r="108">
          <cell r="J108">
            <v>1515</v>
          </cell>
        </row>
        <row r="109">
          <cell r="J109">
            <v>2288</v>
          </cell>
        </row>
        <row r="110">
          <cell r="J110">
            <v>962.40000000000009</v>
          </cell>
        </row>
        <row r="111">
          <cell r="J111">
            <v>2115.5750000000003</v>
          </cell>
        </row>
        <row r="112">
          <cell r="J112">
            <v>3200</v>
          </cell>
        </row>
        <row r="113">
          <cell r="J113">
            <v>3200</v>
          </cell>
        </row>
        <row r="114">
          <cell r="J114">
            <v>157.08333333333334</v>
          </cell>
        </row>
        <row r="115">
          <cell r="J115">
            <v>5827.1166666666668</v>
          </cell>
        </row>
        <row r="116">
          <cell r="J116">
            <v>3320</v>
          </cell>
        </row>
        <row r="117">
          <cell r="J117">
            <v>480</v>
          </cell>
        </row>
        <row r="118">
          <cell r="J118">
            <v>16.675000000000001</v>
          </cell>
        </row>
        <row r="119">
          <cell r="J119">
            <v>254.31666666666669</v>
          </cell>
        </row>
        <row r="120">
          <cell r="J120">
            <v>2415</v>
          </cell>
        </row>
        <row r="121">
          <cell r="J121">
            <v>5127.6916666666666</v>
          </cell>
        </row>
        <row r="122">
          <cell r="J122">
            <v>1900</v>
          </cell>
        </row>
        <row r="123">
          <cell r="J123">
            <v>1000</v>
          </cell>
        </row>
        <row r="124">
          <cell r="J124">
            <v>550</v>
          </cell>
        </row>
        <row r="125">
          <cell r="J125">
            <v>-5775</v>
          </cell>
        </row>
        <row r="126">
          <cell r="J126">
            <v>3359.9999999999995</v>
          </cell>
        </row>
        <row r="127">
          <cell r="J127">
            <v>1994.9999999999998</v>
          </cell>
        </row>
        <row r="128">
          <cell r="J128">
            <v>1300</v>
          </cell>
        </row>
        <row r="129">
          <cell r="J129">
            <v>700</v>
          </cell>
        </row>
        <row r="130">
          <cell r="J130">
            <v>3187.5</v>
          </cell>
        </row>
        <row r="131">
          <cell r="J131">
            <v>3160</v>
          </cell>
        </row>
        <row r="132">
          <cell r="J132">
            <v>1160</v>
          </cell>
        </row>
        <row r="133">
          <cell r="J133">
            <v>1515</v>
          </cell>
        </row>
        <row r="134">
          <cell r="J134">
            <v>1369.3666666666668</v>
          </cell>
        </row>
        <row r="135">
          <cell r="J135">
            <v>1800</v>
          </cell>
        </row>
        <row r="136">
          <cell r="J136">
            <v>9.8500000000000014</v>
          </cell>
        </row>
        <row r="137">
          <cell r="J137">
            <v>1563.3000000000002</v>
          </cell>
        </row>
        <row r="138">
          <cell r="J138">
            <v>0</v>
          </cell>
        </row>
        <row r="139">
          <cell r="J139">
            <v>0</v>
          </cell>
        </row>
        <row r="140">
          <cell r="J140">
            <v>0</v>
          </cell>
        </row>
        <row r="141">
          <cell r="J141">
            <v>0</v>
          </cell>
        </row>
        <row r="142">
          <cell r="J142">
            <v>2074.0000000000005</v>
          </cell>
        </row>
        <row r="143">
          <cell r="J143">
            <v>3000</v>
          </cell>
        </row>
        <row r="145">
          <cell r="J145">
            <v>0</v>
          </cell>
        </row>
        <row r="146">
          <cell r="J146">
            <v>1000</v>
          </cell>
        </row>
        <row r="147">
          <cell r="J147">
            <v>2500</v>
          </cell>
        </row>
        <row r="148">
          <cell r="J148">
            <v>1400</v>
          </cell>
        </row>
        <row r="153">
          <cell r="J153">
            <v>693</v>
          </cell>
        </row>
        <row r="154">
          <cell r="J154">
            <v>0</v>
          </cell>
        </row>
        <row r="155">
          <cell r="J155">
            <v>284.15000000000003</v>
          </cell>
        </row>
        <row r="156">
          <cell r="J156">
            <v>30.850000000000005</v>
          </cell>
        </row>
        <row r="157">
          <cell r="J157">
            <v>0</v>
          </cell>
        </row>
        <row r="158">
          <cell r="J158">
            <v>0</v>
          </cell>
        </row>
        <row r="159">
          <cell r="J159">
            <v>0</v>
          </cell>
        </row>
        <row r="160">
          <cell r="J160">
            <v>0</v>
          </cell>
        </row>
        <row r="161">
          <cell r="J161">
            <v>0</v>
          </cell>
        </row>
        <row r="162">
          <cell r="J162">
            <v>0</v>
          </cell>
        </row>
        <row r="163">
          <cell r="J163">
            <v>930</v>
          </cell>
        </row>
        <row r="164">
          <cell r="J164">
            <v>0</v>
          </cell>
        </row>
        <row r="165">
          <cell r="J165">
            <v>0</v>
          </cell>
        </row>
        <row r="166">
          <cell r="J166">
            <v>0</v>
          </cell>
        </row>
        <row r="167">
          <cell r="J167">
            <v>0</v>
          </cell>
        </row>
        <row r="168">
          <cell r="J168">
            <v>0</v>
          </cell>
        </row>
        <row r="169">
          <cell r="J169">
            <v>0</v>
          </cell>
        </row>
        <row r="170">
          <cell r="J170">
            <v>0</v>
          </cell>
        </row>
        <row r="171">
          <cell r="J171">
            <v>0</v>
          </cell>
        </row>
        <row r="172">
          <cell r="J172">
            <v>0</v>
          </cell>
        </row>
        <row r="173">
          <cell r="J173">
            <v>0</v>
          </cell>
        </row>
        <row r="174">
          <cell r="J174">
            <v>0</v>
          </cell>
        </row>
        <row r="175">
          <cell r="J175">
            <v>0</v>
          </cell>
        </row>
        <row r="176">
          <cell r="J176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Yolande" refreshedDate="43605.615121990741" createdVersion="5" refreshedVersion="5" minRefreshableVersion="3" recordCount="29">
  <cacheSource type="worksheet">
    <worksheetSource name="Tab_BdD"/>
  </cacheSource>
  <cacheFields count="9">
    <cacheField name="Fonction" numFmtId="0">
      <sharedItems/>
    </cacheField>
    <cacheField name="Salarié" numFmtId="49">
      <sharedItems count="6">
        <s v="O"/>
        <s v="G"/>
        <s v="S"/>
        <s v="Y"/>
        <s v="Salarié X" u="1"/>
        <s v="Gabrielle" u="1"/>
      </sharedItems>
    </cacheField>
    <cacheField name="Nom" numFmtId="0">
      <sharedItems count="29">
        <s v="C"/>
        <s v="A"/>
        <s v="ENCADREMENT STAGIAIRE"/>
        <s v="D"/>
        <s v="E"/>
        <s v="F"/>
        <s v="ADMINISTRATIF"/>
        <s v="EVBDM - CESBA"/>
        <s v="G"/>
        <s v="H"/>
        <s v="RECHERCHE OFFRES"/>
        <s v="I"/>
        <s v="B"/>
        <s v="REUNIONS SUIVI DES DOSSERS"/>
        <s v="J"/>
        <s v="FORMATION INTERNE - DOCUMENTATION"/>
        <s v="CANIDATURES"/>
        <s v="REPONSE OFFRE"/>
        <s v="K"/>
        <s v="L"/>
        <s v="COMMISSION BDM"/>
        <s v="ji" u="1"/>
        <s v="GERANCE / RH" u="1"/>
        <s v="VACANCES ET FERIES" u="1"/>
        <s v="lol" u="1"/>
        <s v="gh" u="1"/>
        <s v="gj" u="1"/>
        <s v=",g" u="1"/>
        <s v="u" u="1"/>
      </sharedItems>
    </cacheField>
    <cacheField name="Année" numFmtId="1">
      <sharedItems containsSemiMixedTypes="0" containsString="0" containsNumber="1" containsInteger="1" minValue="2019" maxValue="2021"/>
    </cacheField>
    <cacheField name="Semaine" numFmtId="0">
      <sharedItems containsSemiMixedTypes="0" containsString="0" containsNumber="1" containsInteger="1" minValue="2" maxValue="18"/>
    </cacheField>
    <cacheField name="Imputation" numFmtId="0">
      <sharedItems containsSemiMixedTypes="0" containsString="0" containsNumber="1" minValue="1" maxValue="5"/>
    </cacheField>
    <cacheField name="ID" numFmtId="0">
      <sharedItems/>
    </cacheField>
    <cacheField name="Coût temps" numFmtId="44">
      <sharedItems containsSemiMixedTypes="0" containsString="0" containsNumber="1" minValue="0" maxValue="143.68"/>
    </cacheField>
    <cacheField name="N° projet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saveData="0" refreshedBy="Yolande" refreshedDate="43605.619845023146" backgroundQuery="1" createdVersion="5" refreshedVersion="5" minRefreshableVersion="3" recordCount="0" supportSubquery="1" supportAdvancedDrill="1">
  <cacheSource type="external" connectionId="1"/>
  <cacheFields count="4">
    <cacheField name="[Tab_BdD].[Nom].[Nom]" caption="Nom" numFmtId="0" hierarchy="2" level="1">
      <sharedItems count="12">
        <s v="A"/>
        <s v="B"/>
        <s v="C"/>
        <s v="D"/>
        <s v="E"/>
        <s v="F"/>
        <s v="G"/>
        <s v="H"/>
        <s v="I"/>
        <s v="J"/>
        <s v="K"/>
        <s v="L"/>
      </sharedItems>
    </cacheField>
    <cacheField name="[Measures].[Somme de Coût temps]" caption="Somme de Coût temps" numFmtId="0" hierarchy="28" level="32767"/>
    <cacheField name="[Tab_BdD].[Fonction].[Fonction]" caption="Fonction" numFmtId="0" level="1">
      <sharedItems containsSemiMixedTypes="0" containsNonDate="0" containsString="0"/>
    </cacheField>
    <cacheField name="[Measures].[Nombre de Montants facturés]" caption="Nombre de Montants facturés" numFmtId="0" hierarchy="29" level="32767"/>
  </cacheFields>
  <cacheHierarchies count="34">
    <cacheHierarchy uniqueName="[Tab_BdD].[Fonction]" caption="Fonction" attribute="1" defaultMemberUniqueName="[Tab_BdD].[Fonction].[All]" allUniqueName="[Tab_BdD].[Fonction].[All]" dimensionUniqueName="[Tab_BdD]" displayFolder="" count="2" memberValueDatatype="130" unbalanced="0">
      <fieldsUsage count="2">
        <fieldUsage x="-1"/>
        <fieldUsage x="2"/>
      </fieldsUsage>
    </cacheHierarchy>
    <cacheHierarchy uniqueName="[Tab_BdD].[Salarié]" caption="Salarié" attribute="1" defaultMemberUniqueName="[Tab_BdD].[Salarié].[All]" allUniqueName="[Tab_BdD].[Salarié].[All]" dimensionUniqueName="[Tab_BdD]" displayFolder="" count="0" memberValueDatatype="130" unbalanced="0"/>
    <cacheHierarchy uniqueName="[Tab_BdD].[Nom]" caption="Nom" attribute="1" defaultMemberUniqueName="[Tab_BdD].[Nom].[All]" allUniqueName="[Tab_BdD].[Nom].[All]" dimensionUniqueName="[Tab_BdD]" displayFolder="" count="2" memberValueDatatype="130" unbalanced="0">
      <fieldsUsage count="2">
        <fieldUsage x="-1"/>
        <fieldUsage x="0"/>
      </fieldsUsage>
    </cacheHierarchy>
    <cacheHierarchy uniqueName="[Tab_BdD].[Année]" caption="Année" attribute="1" defaultMemberUniqueName="[Tab_BdD].[Année].[All]" allUniqueName="[Tab_BdD].[Année].[All]" dimensionUniqueName="[Tab_BdD]" displayFolder="" count="0" memberValueDatatype="20" unbalanced="0"/>
    <cacheHierarchy uniqueName="[Tab_BdD].[Semaine]" caption="Semaine" attribute="1" defaultMemberUniqueName="[Tab_BdD].[Semaine].[All]" allUniqueName="[Tab_BdD].[Semaine].[All]" dimensionUniqueName="[Tab_BdD]" displayFolder="" count="0" memberValueDatatype="20" unbalanced="0"/>
    <cacheHierarchy uniqueName="[Tab_BdD].[Imputation]" caption="Imputation" attribute="1" defaultMemberUniqueName="[Tab_BdD].[Imputation].[All]" allUniqueName="[Tab_BdD].[Imputation].[All]" dimensionUniqueName="[Tab_BdD]" displayFolder="" count="0" memberValueDatatype="5" unbalanced="0"/>
    <cacheHierarchy uniqueName="[Tab_BdD].[ID]" caption="ID" attribute="1" defaultMemberUniqueName="[Tab_BdD].[ID].[All]" allUniqueName="[Tab_BdD].[ID].[All]" dimensionUniqueName="[Tab_BdD]" displayFolder="" count="0" memberValueDatatype="130" unbalanced="0"/>
    <cacheHierarchy uniqueName="[Tab_BdD].[Coût temps]" caption="Coût temps" attribute="1" defaultMemberUniqueName="[Tab_BdD].[Coût temps].[All]" allUniqueName="[Tab_BdD].[Coût temps].[All]" dimensionUniqueName="[Tab_BdD]" displayFolder="" count="0" memberValueDatatype="5" unbalanced="0"/>
    <cacheHierarchy uniqueName="[Tab_BdD].[N° projet]" caption="N° projet" attribute="1" defaultMemberUniqueName="[Tab_BdD].[N° projet].[All]" allUniqueName="[Tab_BdD].[N° projet].[All]" dimensionUniqueName="[Tab_BdD]" displayFolder="" count="0" memberValueDatatype="130" unbalanced="0"/>
    <cacheHierarchy uniqueName="[Tab_Projet].[N°]" caption="N°" attribute="1" defaultMemberUniqueName="[Tab_Projet].[N°].[All]" allUniqueName="[Tab_Projet].[N°].[All]" dimensionUniqueName="[Tab_Projet]" displayFolder="" count="0" memberValueDatatype="20" unbalanced="0"/>
    <cacheHierarchy uniqueName="[Tab_Projet].[Type]" caption="Type" attribute="1" defaultMemberUniqueName="[Tab_Projet].[Type].[All]" allUniqueName="[Tab_Projet].[Type].[All]" dimensionUniqueName="[Tab_Projet]" displayFolder="" count="0" memberValueDatatype="130" unbalanced="0"/>
    <cacheHierarchy uniqueName="[Tab_Projet].[Nom]" caption="Nom" attribute="1" defaultMemberUniqueName="[Tab_Projet].[Nom].[All]" allUniqueName="[Tab_Projet].[Nom].[All]" dimensionUniqueName="[Tab_Projet]" displayFolder="" count="0" memberValueDatatype="130" unbalanced="0"/>
    <cacheHierarchy uniqueName="[Tab_Projet].[Ville]" caption="Ville" attribute="1" defaultMemberUniqueName="[Tab_Projet].[Ville].[All]" allUniqueName="[Tab_Projet].[Ville].[All]" dimensionUniqueName="[Tab_Projet]" displayFolder="" count="0" memberValueDatatype="130" unbalanced="0"/>
    <cacheHierarchy uniqueName="[Tab_Projet].[Client]" caption="Client" attribute="1" defaultMemberUniqueName="[Tab_Projet].[Client].[All]" allUniqueName="[Tab_Projet].[Client].[All]" dimensionUniqueName="[Tab_Projet]" displayFolder="" count="0" memberValueDatatype="130" unbalanced="0"/>
    <cacheHierarchy uniqueName="[Tab_Projet].[CA prévu]" caption="CA prévu" attribute="1" defaultMemberUniqueName="[Tab_Projet].[CA prévu].[All]" allUniqueName="[Tab_Projet].[CA prévu].[All]" dimensionUniqueName="[Tab_Projet]" displayFolder="" count="0" memberValueDatatype="130" unbalanced="0"/>
    <cacheHierarchy uniqueName="[Tab_Projet].[Temps prévu (en H)]" caption="Temps prévu (en H)" attribute="1" defaultMemberUniqueName="[Tab_Projet].[Temps prévu (en H)].[All]" allUniqueName="[Tab_Projet].[Temps prévu (en H)].[All]" dimensionUniqueName="[Tab_Projet]" displayFolder="" count="0" memberValueDatatype="130" unbalanced="0"/>
    <cacheHierarchy uniqueName="[Tab_Projet].[Budget mission prévu]" caption="Budget mission prévu" attribute="1" defaultMemberUniqueName="[Tab_Projet].[Budget mission prévu].[All]" allUniqueName="[Tab_Projet].[Budget mission prévu].[All]" dimensionUniqueName="[Tab_Projet]" displayFolder="" count="0" memberValueDatatype="130" unbalanced="0"/>
    <cacheHierarchy uniqueName="[Tab_Projet].[A]" caption="A" attribute="1" defaultMemberUniqueName="[Tab_Projet].[A].[All]" allUniqueName="[Tab_Projet].[A].[All]" dimensionUniqueName="[Tab_Projet]" displayFolder="" count="0" memberValueDatatype="130" unbalanced="0"/>
    <cacheHierarchy uniqueName="[Tab_Projet].[G]" caption="G" attribute="1" defaultMemberUniqueName="[Tab_Projet].[G].[All]" allUniqueName="[Tab_Projet].[G].[All]" dimensionUniqueName="[Tab_Projet]" displayFolder="" count="0" memberValueDatatype="130" unbalanced="0"/>
    <cacheHierarchy uniqueName="[Tab_Projet].[O]" caption="O" attribute="1" defaultMemberUniqueName="[Tab_Projet].[O].[All]" allUniqueName="[Tab_Projet].[O].[All]" dimensionUniqueName="[Tab_Projet]" displayFolder="" count="0" memberValueDatatype="130" unbalanced="0"/>
    <cacheHierarchy uniqueName="[Tab_Projet].[S]" caption="S" attribute="1" defaultMemberUniqueName="[Tab_Projet].[S].[All]" allUniqueName="[Tab_Projet].[S].[All]" dimensionUniqueName="[Tab_Projet]" displayFolder="" count="0" memberValueDatatype="130" unbalanced="0"/>
    <cacheHierarchy uniqueName="[Tab_Projet].[Statut]" caption="Statut" attribute="1" defaultMemberUniqueName="[Tab_Projet].[Statut].[All]" allUniqueName="[Tab_Projet].[Statut].[All]" dimensionUniqueName="[Tab_Projet]" displayFolder="" count="0" memberValueDatatype="130" unbalanced="0"/>
    <cacheHierarchy uniqueName="[Tab_Projet].[Montants facturés]" caption="Montants facturés" attribute="1" defaultMemberUniqueName="[Tab_Projet].[Montants facturés].[All]" allUniqueName="[Tab_Projet].[Montants facturés].[All]" dimensionUniqueName="[Tab_Projet]" displayFolder="" count="0" memberValueDatatype="130" unbalanced="0"/>
    <cacheHierarchy uniqueName="[Tableau15].[Coût horaire global par année]" caption="Coût horaire global par année" attribute="1" defaultMemberUniqueName="[Tableau15].[Coût horaire global par année].[All]" allUniqueName="[Tableau15].[Coût horaire global par année].[All]" dimensionUniqueName="[Tableau15]" displayFolder="" count="0" memberValueDatatype="130" unbalanced="0"/>
    <cacheHierarchy uniqueName="[Tableau15].[2019]" caption="2019" attribute="1" defaultMemberUniqueName="[Tableau15].[2019].[All]" allUniqueName="[Tableau15].[2019].[All]" dimensionUniqueName="[Tableau15]" displayFolder="" count="0" memberValueDatatype="5" unbalanced="0"/>
    <cacheHierarchy uniqueName="[Tableau15].[2020]" caption="2020" attribute="1" defaultMemberUniqueName="[Tableau15].[2020].[All]" allUniqueName="[Tableau15].[2020].[All]" dimensionUniqueName="[Tableau15]" displayFolder="" count="0" memberValueDatatype="5" unbalanced="0"/>
    <cacheHierarchy uniqueName="[Measures].[Somme de 2019]" caption="Somme de 2019" measure="1" displayFolder="" measureGroup="Tableau15" count="0">
      <extLst>
        <ext xmlns:x15="http://schemas.microsoft.com/office/spreadsheetml/2010/11/main" uri="{B97F6D7D-B522-45F9-BDA1-12C45D357490}">
          <x15:cacheHierarchy aggregatedColumn="24"/>
        </ext>
      </extLst>
    </cacheHierarchy>
    <cacheHierarchy uniqueName="[Measures].[Nombre de Coût temps]" caption="Nombre de Coût temps" measure="1" displayFolder="" measureGroup="Tab_BdD" count="0">
      <extLst>
        <ext xmlns:x15="http://schemas.microsoft.com/office/spreadsheetml/2010/11/main" uri="{B97F6D7D-B522-45F9-BDA1-12C45D357490}">
          <x15:cacheHierarchy aggregatedColumn="7"/>
        </ext>
      </extLst>
    </cacheHierarchy>
    <cacheHierarchy uniqueName="[Measures].[Somme de Coût temps]" caption="Somme de Coût temps" measure="1" displayFolder="" measureGroup="Tab_BdD" count="0" oneField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7"/>
        </ext>
      </extLst>
    </cacheHierarchy>
    <cacheHierarchy uniqueName="[Measures].[Nombre de Montants facturés]" caption="Nombre de Montants facturés" measure="1" displayFolder="" measureGroup="Tab_Projet" count="0" oneField="1">
      <fieldsUsage count="1">
        <fieldUsage x="3"/>
      </fieldsUsage>
      <extLst>
        <ext xmlns:x15="http://schemas.microsoft.com/office/spreadsheetml/2010/11/main" uri="{B97F6D7D-B522-45F9-BDA1-12C45D357490}">
          <x15:cacheHierarchy aggregatedColumn="22"/>
        </ext>
      </extLst>
    </cacheHierarchy>
    <cacheHierarchy uniqueName="[Measures].[__XL_Count Tab_BdD]" caption="__XL_Count Tab_BdD" measure="1" displayFolder="" measureGroup="Tab_BdD" count="0" hidden="1"/>
    <cacheHierarchy uniqueName="[Measures].[__XL_Count Tableau15]" caption="__XL_Count Tableau15" measure="1" displayFolder="" measureGroup="Tableau15" count="0" hidden="1"/>
    <cacheHierarchy uniqueName="[Measures].[__XL_Count Tab_Projet]" caption="__XL_Count Tab_Projet" measure="1" displayFolder="" measureGroup="Tab_Projet" count="0" hidden="1"/>
    <cacheHierarchy uniqueName="[Measures].[__XL_Count of Models]" caption="__XL_Count of Models" measure="1" displayFolder="" count="0" hidden="1"/>
  </cacheHierarchies>
  <kpis count="0"/>
  <dimensions count="4">
    <dimension measure="1" name="Measures" uniqueName="[Measures]" caption="Measures"/>
    <dimension name="Tab_BdD" uniqueName="[Tab_BdD]" caption="Tab_BdD"/>
    <dimension name="Tab_Projet" uniqueName="[Tab_Projet]" caption="Tab_Projet"/>
    <dimension name="Tableau15" uniqueName="[Tableau15]" caption="Tableau15"/>
  </dimensions>
  <measureGroups count="3">
    <measureGroup name="Tab_BdD" caption="Tab_BdD"/>
    <measureGroup name="Tab_Projet" caption="Tab_Projet"/>
    <measureGroup name="Tableau15" caption="Tableau15"/>
  </measureGroups>
  <maps count="3">
    <map measureGroup="0" dimension="1"/>
    <map measureGroup="1" dimension="2"/>
    <map measureGroup="2" dimension="3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9">
  <r>
    <s v="Productif"/>
    <x v="0"/>
    <x v="0"/>
    <n v="2019"/>
    <n v="2"/>
    <n v="3"/>
    <s v="Productif|O|C|2019|2"/>
    <n v="121.35"/>
    <e v="#N/A"/>
  </r>
  <r>
    <s v="Productif"/>
    <x v="0"/>
    <x v="1"/>
    <n v="2019"/>
    <n v="2"/>
    <n v="2"/>
    <s v="Productif|O|A|2019|2"/>
    <n v="80.900000000000006"/>
    <m/>
  </r>
  <r>
    <s v="Prospect et support"/>
    <x v="0"/>
    <x v="2"/>
    <n v="2019"/>
    <n v="2"/>
    <n v="1"/>
    <s v="Prospect et support|O|ENCADREMENT STAGIAIRE|2019|2"/>
    <n v="40.450000000000003"/>
    <m/>
  </r>
  <r>
    <s v="Productif"/>
    <x v="0"/>
    <x v="3"/>
    <n v="2021"/>
    <n v="2"/>
    <n v="1"/>
    <s v="Productif|O|D|2021|2"/>
    <n v="0"/>
    <m/>
  </r>
  <r>
    <s v="Productif"/>
    <x v="1"/>
    <x v="4"/>
    <n v="2019"/>
    <n v="2"/>
    <n v="3"/>
    <s v="Productif|G|E|2019|2"/>
    <n v="83.21"/>
    <m/>
  </r>
  <r>
    <s v="Productif"/>
    <x v="1"/>
    <x v="5"/>
    <n v="2019"/>
    <n v="18"/>
    <n v="5"/>
    <s v="Productif|G|F|2019|18"/>
    <n v="138.68"/>
    <m/>
  </r>
  <r>
    <s v="Productif"/>
    <x v="1"/>
    <x v="3"/>
    <n v="2019"/>
    <n v="18"/>
    <n v="2"/>
    <s v="Productif|G|D|2019|18"/>
    <n v="55.47"/>
    <m/>
  </r>
  <r>
    <s v="Prospect et support"/>
    <x v="1"/>
    <x v="6"/>
    <n v="2019"/>
    <n v="18"/>
    <n v="2"/>
    <s v="Prospect et support|G|ADMINISTRATIF|2019|18"/>
    <n v="55.47"/>
    <m/>
  </r>
  <r>
    <s v="Prospect et support"/>
    <x v="1"/>
    <x v="7"/>
    <n v="2019"/>
    <n v="18"/>
    <n v="2"/>
    <s v="Prospect et support|G|EVBDM - CESBA|2019|18"/>
    <n v="55.47"/>
    <m/>
  </r>
  <r>
    <s v="Productif"/>
    <x v="2"/>
    <x v="8"/>
    <n v="2019"/>
    <n v="18"/>
    <n v="4"/>
    <s v="Productif|S|G|2019|18"/>
    <n v="77.39"/>
    <m/>
  </r>
  <r>
    <s v="Productif"/>
    <x v="2"/>
    <x v="9"/>
    <n v="2019"/>
    <n v="18"/>
    <n v="3.5"/>
    <s v="Productif|S|H|2019|18"/>
    <n v="67.72"/>
    <m/>
  </r>
  <r>
    <s v="Prospect et support"/>
    <x v="2"/>
    <x v="2"/>
    <n v="2019"/>
    <n v="18"/>
    <n v="2"/>
    <s v="Prospect et support|S|ENCADREMENT STAGIAIRE|2019|18"/>
    <n v="38.700000000000003"/>
    <m/>
  </r>
  <r>
    <s v="Prospect et support"/>
    <x v="2"/>
    <x v="10"/>
    <n v="2019"/>
    <n v="18"/>
    <n v="1"/>
    <s v="Prospect et support|S|RECHERCHE OFFRES|2019|18"/>
    <n v="19.350000000000001"/>
    <m/>
  </r>
  <r>
    <s v="Productif"/>
    <x v="2"/>
    <x v="0"/>
    <n v="2019"/>
    <n v="18"/>
    <n v="1"/>
    <s v="Productif|S|C|2019|18"/>
    <n v="19.350000000000001"/>
    <m/>
  </r>
  <r>
    <s v="Productif"/>
    <x v="3"/>
    <x v="3"/>
    <n v="2019"/>
    <n v="17"/>
    <n v="2"/>
    <s v="Productif|Y|D|2019|17"/>
    <n v="42.67"/>
    <m/>
  </r>
  <r>
    <s v="Productif"/>
    <x v="3"/>
    <x v="11"/>
    <n v="2019"/>
    <n v="17"/>
    <n v="4"/>
    <s v="Productif|Y|I|2019|17"/>
    <n v="85.35"/>
    <m/>
  </r>
  <r>
    <s v="Productif"/>
    <x v="3"/>
    <x v="12"/>
    <n v="2019"/>
    <n v="17"/>
    <n v="3"/>
    <s v="Productif|Y|B|2019|17"/>
    <n v="64.010000000000005"/>
    <m/>
  </r>
  <r>
    <s v="Prospect et support"/>
    <x v="3"/>
    <x v="13"/>
    <n v="2019"/>
    <n v="18"/>
    <n v="2"/>
    <s v="Prospect et support|Y|REUNIONS SUIVI DES DOSSERS|2019|18"/>
    <n v="42.67"/>
    <m/>
  </r>
  <r>
    <s v="Productif"/>
    <x v="3"/>
    <x v="14"/>
    <n v="2019"/>
    <n v="18"/>
    <n v="3.5"/>
    <s v="Productif|Y|J|2019|18"/>
    <n v="74.680000000000007"/>
    <m/>
  </r>
  <r>
    <s v="Productif"/>
    <x v="1"/>
    <x v="3"/>
    <n v="2020"/>
    <n v="18"/>
    <n v="5"/>
    <s v="Productif|G|D|2020|18"/>
    <n v="143.68"/>
    <m/>
  </r>
  <r>
    <s v="Productif"/>
    <x v="1"/>
    <x v="5"/>
    <n v="2020"/>
    <n v="18"/>
    <n v="3"/>
    <s v="Productif|G|F|2020|18"/>
    <n v="86.21"/>
    <m/>
  </r>
  <r>
    <s v="Prospect et support"/>
    <x v="1"/>
    <x v="15"/>
    <n v="2020"/>
    <n v="18"/>
    <n v="2"/>
    <s v="Prospect et support|G|FORMATION INTERNE - DOCUMENTATION|2020|18"/>
    <n v="57.47"/>
    <m/>
  </r>
  <r>
    <s v="Prospect et support"/>
    <x v="1"/>
    <x v="16"/>
    <n v="2020"/>
    <n v="18"/>
    <n v="3"/>
    <s v="Prospect et support|G|CANIDATURES|2020|18"/>
    <n v="86.21"/>
    <m/>
  </r>
  <r>
    <s v="Prospect et support"/>
    <x v="1"/>
    <x v="17"/>
    <n v="2020"/>
    <n v="18"/>
    <n v="1"/>
    <s v="Prospect et support|G|REPONSE OFFRE|2020|18"/>
    <n v="28.74"/>
    <m/>
  </r>
  <r>
    <s v="Productif"/>
    <x v="0"/>
    <x v="4"/>
    <n v="2020"/>
    <n v="18"/>
    <n v="3"/>
    <s v="Productif|O|E|2020|18"/>
    <n v="124.35"/>
    <m/>
  </r>
  <r>
    <s v="Productif"/>
    <x v="2"/>
    <x v="3"/>
    <n v="2020"/>
    <n v="18"/>
    <n v="4"/>
    <s v="Productif|S|D|2020|18"/>
    <n v="81.39"/>
    <m/>
  </r>
  <r>
    <s v="Productif"/>
    <x v="2"/>
    <x v="18"/>
    <n v="2020"/>
    <n v="18"/>
    <n v="3"/>
    <s v="Productif|S|K|2020|18"/>
    <n v="61.04"/>
    <m/>
  </r>
  <r>
    <s v="Productif"/>
    <x v="2"/>
    <x v="19"/>
    <n v="2020"/>
    <n v="18"/>
    <n v="1"/>
    <s v="Productif|S|L|2020|18"/>
    <n v="20.350000000000001"/>
    <m/>
  </r>
  <r>
    <s v="Prospect et support"/>
    <x v="2"/>
    <x v="20"/>
    <n v="2020"/>
    <n v="18"/>
    <n v="2"/>
    <s v="Prospect et support|S|COMMISSION BDM|2020|18"/>
    <n v="40.700000000000003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C16" firstHeaderRow="0" firstDataRow="1" firstDataCol="1" rowPageCount="1" colPageCount="1"/>
  <pivotFields count="4">
    <pivotField axis="axisRow" allDrilled="1" showAll="0" dataSourceSort="1" defaultAttributeDrillState="1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dataField="1" showAll="0"/>
    <pivotField axis="axisPage" allDrilled="1" showAll="0" dataSourceSort="1" defaultAttributeDrillState="1">
      <items count="1">
        <item t="default"/>
      </items>
    </pivotField>
    <pivotField dataField="1" showAll="0"/>
  </pivotFields>
  <rowFields count="1">
    <field x="0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1">
    <field x="-2"/>
  </colFields>
  <colItems count="2">
    <i>
      <x/>
    </i>
    <i i="1">
      <x v="1"/>
    </i>
  </colItems>
  <pageFields count="1">
    <pageField fld="2" hier="0" name="[Tab_BdD].[Fonction].&amp;[Productif]" cap="Productif"/>
  </pageFields>
  <dataFields count="2">
    <dataField name="Somme de Coût temps" fld="1" baseField="0" baseItem="0"/>
    <dataField name="Nombre de Montants facturés" fld="3" subtotal="count" baseField="0" baseItem="0"/>
  </dataFields>
  <pivotHierarchies count="34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2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_BdD]"/>
        <x15:activeTabTopLevelEntity name="[Tab_Projet]"/>
      </x15:pivotTableUISettings>
    </ext>
  </extLst>
</pivotTableDefinition>
</file>

<file path=xl/pivotTables/pivotTable2.xml><?xml version="1.0" encoding="utf-8"?>
<pivotTableDefinition xmlns="http://schemas.openxmlformats.org/spreadsheetml/2006/main" name="Tableau croisé dynamique1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F26" firstHeaderRow="1" firstDataRow="2" firstDataCol="1"/>
  <pivotFields count="9">
    <pivotField showAll="0" defaultSubtotal="0"/>
    <pivotField axis="axisCol" showAll="0">
      <items count="7">
        <item x="1"/>
        <item m="1" x="5"/>
        <item x="0"/>
        <item x="2"/>
        <item m="1" x="4"/>
        <item x="3"/>
        <item t="default"/>
      </items>
    </pivotField>
    <pivotField axis="axisRow" showAll="0">
      <items count="30">
        <item m="1" x="27"/>
        <item x="1"/>
        <item x="12"/>
        <item x="0"/>
        <item x="3"/>
        <item x="15"/>
        <item m="1" x="22"/>
        <item m="1" x="25"/>
        <item m="1" x="26"/>
        <item m="1" x="21"/>
        <item m="1" x="28"/>
        <item m="1" x="23"/>
        <item x="2"/>
        <item m="1" x="24"/>
        <item x="6"/>
        <item x="7"/>
        <item x="10"/>
        <item x="13"/>
        <item x="16"/>
        <item x="17"/>
        <item x="20"/>
        <item x="4"/>
        <item x="5"/>
        <item x="8"/>
        <item x="9"/>
        <item x="11"/>
        <item x="14"/>
        <item x="18"/>
        <item x="19"/>
        <item t="default"/>
      </items>
    </pivotField>
    <pivotField numFmtId="1" showAll="0"/>
    <pivotField showAll="0"/>
    <pivotField numFmtId="2" showAll="0"/>
    <pivotField showAll="0"/>
    <pivotField dataField="1" showAll="0"/>
    <pivotField showAll="0" defaultSubtotal="0"/>
  </pivotFields>
  <rowFields count="1">
    <field x="2"/>
  </rowFields>
  <rowItems count="22">
    <i>
      <x v="1"/>
    </i>
    <i>
      <x v="2"/>
    </i>
    <i>
      <x v="3"/>
    </i>
    <i>
      <x v="4"/>
    </i>
    <i>
      <x v="5"/>
    </i>
    <i>
      <x v="12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 t="grand">
      <x/>
    </i>
  </rowItems>
  <colFields count="1">
    <field x="1"/>
  </colFields>
  <colItems count="5">
    <i>
      <x/>
    </i>
    <i>
      <x v="2"/>
    </i>
    <i>
      <x v="3"/>
    </i>
    <i>
      <x v="5"/>
    </i>
    <i t="grand">
      <x/>
    </i>
  </colItems>
  <dataFields count="1">
    <dataField name="Coût du temps par projet, fonction et salarié" fld="7" baseField="3" baseItem="0" numFmtId="44"/>
  </dataFields>
  <formats count="17">
    <format dxfId="58">
      <pivotArea outline="0" collapsedLevelsAreSubtotals="1" fieldPosition="0"/>
    </format>
    <format dxfId="57">
      <pivotArea dataOnly="0" labelOnly="1" fieldPosition="0">
        <references count="1">
          <reference field="1" count="0"/>
        </references>
      </pivotArea>
    </format>
    <format dxfId="56">
      <pivotArea dataOnly="0" labelOnly="1" grandCol="1" outline="0" fieldPosition="0"/>
    </format>
    <format dxfId="55">
      <pivotArea collapsedLevelsAreSubtotals="1" fieldPosition="0">
        <references count="1">
          <reference field="2" count="0"/>
        </references>
      </pivotArea>
    </format>
    <format dxfId="54">
      <pivotArea grandRow="1" outline="0" collapsedLevelsAreSubtotals="1" fieldPosition="0"/>
    </format>
    <format dxfId="53">
      <pivotArea field="1" grandRow="1" outline="0" collapsedLevelsAreSubtotals="1" axis="axisCol" fieldPosition="0">
        <references count="1">
          <reference field="1" count="2" selected="0">
            <x v="0"/>
            <x v="2"/>
          </reference>
        </references>
      </pivotArea>
    </format>
    <format dxfId="52">
      <pivotArea outline="0" collapsedLevelsAreSubtotals="1" fieldPosition="0"/>
    </format>
    <format dxfId="51">
      <pivotArea field="2" type="button" dataOnly="0" labelOnly="1" outline="0" axis="axisRow" fieldPosition="0"/>
    </format>
    <format dxfId="50">
      <pivotArea dataOnly="0" labelOnly="1" fieldPosition="0">
        <references count="1">
          <reference field="2" count="0"/>
        </references>
      </pivotArea>
    </format>
    <format dxfId="49">
      <pivotArea dataOnly="0" labelOnly="1" grandRow="1" outline="0" fieldPosition="0"/>
    </format>
    <format dxfId="48">
      <pivotArea dataOnly="0" labelOnly="1" fieldPosition="0">
        <references count="1">
          <reference field="1" count="0"/>
        </references>
      </pivotArea>
    </format>
    <format dxfId="47">
      <pivotArea dataOnly="0" labelOnly="1" grandCol="1" outline="0" fieldPosition="0"/>
    </format>
    <format dxfId="46">
      <pivotArea field="2" type="button" dataOnly="0" labelOnly="1" outline="0" axis="axisRow" fieldPosition="0"/>
    </format>
    <format dxfId="45">
      <pivotArea dataOnly="0" labelOnly="1" fieldPosition="0">
        <references count="1">
          <reference field="1" count="0"/>
        </references>
      </pivotArea>
    </format>
    <format dxfId="44">
      <pivotArea dataOnly="0" labelOnly="1" grandCol="1" outline="0" fieldPosition="0"/>
    </format>
    <format dxfId="43">
      <pivotArea grandRow="1" outline="0" collapsedLevelsAreSubtotals="1" fieldPosition="0"/>
    </format>
    <format dxfId="42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_Suivi_temps_projet" displayName="Tab_Suivi_temps_projet" ref="B7:E19" totalsRowShown="0" headerRowDxfId="84" dataDxfId="83" tableBorderDxfId="82">
  <autoFilter ref="B7:E19"/>
  <sortState ref="B8:E19">
    <sortCondition ref="B8:B19" customList="DOSSIER AMO ETUDES URBAINES,DOSSIER AMO QE,DOSSIER MOE,CONCOURS MOE,AUTRES INTERVENTIONS/SOUS-TRAITANCE,EXPERTISES/CONSEILS/ETUDES,PRESTATIONS FORMATION"/>
  </sortState>
  <tableColumns count="4">
    <tableColumn id="1" name="Type projet" dataDxfId="81" totalsRowDxfId="80"/>
    <tableColumn id="2" name="Nom projet" dataDxfId="79" totalsRowDxfId="78"/>
    <tableColumn id="3" name="Imputation" dataDxfId="77">
      <calculatedColumnFormula>IF(E8=0,0,INDEX(Tab_BdD[Imputation],E8))</calculatedColumnFormula>
    </tableColumn>
    <tableColumn id="4" name="ligne dans la BdD" dataDxfId="76">
      <calculatedColumnFormula>IFERROR(MATCH(A8&amp;"|"&amp;$D$2&amp;"|"&amp;C8&amp;"|"&amp;$D$4&amp;"|"&amp;$D$5,Tab_BdD[ID],0),0)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16" name="Tableau16" displayName="Tableau16" ref="A21:E39" totalsRowShown="0" headerRowBorderDxfId="75" tableBorderDxfId="74" totalsRowBorderDxfId="73">
  <autoFilter ref="A21:E39"/>
  <sortState ref="A22:E39">
    <sortCondition descending="1" ref="A22:A39"/>
    <sortCondition ref="B22:B39" customList="ADMINISTRATIF ET MANAGEMENT,PROSPECTS,BENEVOLAT,FORMATION,DIVERS,AUTRES"/>
  </sortState>
  <tableColumns count="5">
    <tableColumn id="1" name="Fonction" dataDxfId="72"/>
    <tableColumn id="2" name="Type " dataDxfId="71"/>
    <tableColumn id="3" name="Nom" dataDxfId="70"/>
    <tableColumn id="4" name="Colonne1" dataDxfId="69"/>
    <tableColumn id="5" name="Colonne2" dataDxfId="68">
      <calculatedColumnFormula>IFERROR(MATCH(Tableau16[[#This Row],[Fonction]]&amp;"|"&amp;$D$2&amp;"|"&amp;C22&amp;"|"&amp;$D$4&amp;"|"&amp;$D$5,Tab_BdD[ID],0),0)</calculatedColumnFormula>
    </tableColumn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id="1" name="Tab_BdD" displayName="Tab_BdD" ref="A1:I30" totalsRowShown="0" headerRowDxfId="67" dataDxfId="66">
  <autoFilter ref="A1:I30"/>
  <sortState ref="A2:I22">
    <sortCondition descending="1" ref="D2:D22"/>
    <sortCondition descending="1" ref="E2:E22"/>
  </sortState>
  <tableColumns count="9">
    <tableColumn id="14" name="Fonction" dataDxfId="65"/>
    <tableColumn id="1" name="Salarié" dataDxfId="64"/>
    <tableColumn id="2" name="Nom" dataDxfId="63"/>
    <tableColumn id="3" name="Année" dataDxfId="62"/>
    <tableColumn id="4" name="Semaine" dataDxfId="61"/>
    <tableColumn id="5" name="Imputation" dataDxfId="60"/>
    <tableColumn id="6" name="ID" dataDxfId="59">
      <calculatedColumnFormula>Tab_BdD[[#This Row],[Fonction]]&amp;"|"&amp;Tab_BdD[[#This Row],[Salarié]]&amp;"|"&amp;Tab_BdD[[#This Row],[Nom]]&amp;"|"&amp;Tab_BdD[[#This Row],[Année]]&amp;"|"&amp;Tab_BdD[[#This Row],[Semaine]]</calculatedColumnFormula>
    </tableColumn>
    <tableColumn id="12" name="Coût temps" dataDxfId="15">
      <calculatedColumnFormula>Tab_BdD[[#This Row],[Imputation]]*INDEX('Coût horaire'!$I$1:$K$6,MATCH(Tab_BdD[[#This Row],[Salarié]],'Coût horaire'!$I$1:$I$6,0),MATCH(Tab_BdD[[#This Row],[Année]],'Coût horaire'!$I$1:$K$1,0))</calculatedColumnFormula>
    </tableColumn>
    <tableColumn id="7" name="N° projet" dataDxfId="16">
      <calculatedColumnFormula>IFERROR(INDEX(Tab_Projet[N°],MATCH(Tab_BdD[[#This Row],[Nom]],Tab_Projet[Nom],0)),"Divers")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" name="Tab_Projet" displayName="Tab_Projet" ref="A16:N28" totalsRowShown="0" headerRowDxfId="41" dataDxfId="39" headerRowBorderDxfId="40" tableBorderDxfId="38" totalsRowBorderDxfId="37">
  <autoFilter ref="A16:N28"/>
  <sortState ref="A17:N27">
    <sortCondition descending="1" ref="A16:A27"/>
  </sortState>
  <tableColumns count="14">
    <tableColumn id="1" name="N°" dataDxfId="36"/>
    <tableColumn id="2" name="Type" dataDxfId="35"/>
    <tableColumn id="3" name="Nom" dataDxfId="34"/>
    <tableColumn id="4" name="Ville" dataDxfId="33"/>
    <tableColumn id="5" name="Client" dataDxfId="32"/>
    <tableColumn id="6" name="CA prévu" dataDxfId="31"/>
    <tableColumn id="7" name="Temps prévu (en H)" dataDxfId="30"/>
    <tableColumn id="8" name="Budget mission prévu" dataDxfId="29"/>
    <tableColumn id="9" name="A" dataDxfId="28"/>
    <tableColumn id="10" name="G" dataDxfId="27"/>
    <tableColumn id="11" name="O" dataDxfId="26"/>
    <tableColumn id="12" name="S" dataDxfId="25"/>
    <tableColumn id="13" name="Statut" dataDxfId="24"/>
    <tableColumn id="14" name="Montants facturés" dataDxfId="23">
      <calculatedColumnFormula>SUMIF('[1]Suivi 2018'!$E:$E,A17,'[1]Suivi 2018'!$J:$J)</calculatedColumnFormula>
    </tableColumn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id="4" name="Tableau4" displayName="Tableau4" ref="A7:D25" totalsRowShown="0" headerRowBorderDxfId="22" tableBorderDxfId="21" totalsRowBorderDxfId="20">
  <autoFilter ref="A7:D25"/>
  <tableColumns count="4">
    <tableColumn id="1" name="N°" dataDxfId="19"/>
    <tableColumn id="2" name="Catégorie" dataDxfId="18"/>
    <tableColumn id="3" name="Type"/>
    <tableColumn id="4" name="Nom" dataDxfId="17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H50"/>
  <sheetViews>
    <sheetView workbookViewId="0">
      <selection activeCell="D8" sqref="D8"/>
    </sheetView>
  </sheetViews>
  <sheetFormatPr baseColWidth="10" defaultRowHeight="14.5" outlineLevelCol="1" x14ac:dyDescent="0.35"/>
  <cols>
    <col min="1" max="1" width="18.453125" style="14" customWidth="1" outlineLevel="1"/>
    <col min="2" max="2" width="30.7265625" customWidth="1"/>
    <col min="3" max="3" width="49.81640625" customWidth="1"/>
    <col min="4" max="4" width="15.7265625" customWidth="1"/>
    <col min="5" max="5" width="18.7265625" customWidth="1"/>
  </cols>
  <sheetData>
    <row r="1" spans="1:6" ht="25" customHeight="1" x14ac:dyDescent="0.35">
      <c r="B1" s="112" t="s">
        <v>9</v>
      </c>
      <c r="C1" s="112"/>
      <c r="D1" s="112"/>
      <c r="E1" s="112"/>
    </row>
    <row r="2" spans="1:6" ht="20.149999999999999" customHeight="1" x14ac:dyDescent="0.35">
      <c r="B2" s="6"/>
      <c r="C2" s="7" t="s">
        <v>11</v>
      </c>
      <c r="D2" s="32" t="s">
        <v>54</v>
      </c>
      <c r="E2" s="6"/>
    </row>
    <row r="3" spans="1:6" ht="20.149999999999999" customHeight="1" x14ac:dyDescent="0.35">
      <c r="B3" s="6"/>
      <c r="C3" s="6"/>
      <c r="D3" s="6"/>
      <c r="E3" s="6"/>
    </row>
    <row r="4" spans="1:6" ht="20.149999999999999" customHeight="1" x14ac:dyDescent="0.35">
      <c r="B4" s="6"/>
      <c r="C4" s="7" t="s">
        <v>8</v>
      </c>
      <c r="D4" s="32">
        <v>2020</v>
      </c>
      <c r="E4" s="6"/>
    </row>
    <row r="5" spans="1:6" ht="20.149999999999999" customHeight="1" x14ac:dyDescent="0.35">
      <c r="B5" s="6"/>
      <c r="C5" s="7" t="s">
        <v>10</v>
      </c>
      <c r="D5" s="32">
        <v>18</v>
      </c>
      <c r="E5" s="6"/>
    </row>
    <row r="6" spans="1:6" ht="20.149999999999999" customHeight="1" x14ac:dyDescent="0.35">
      <c r="B6" s="6"/>
      <c r="C6" s="6"/>
      <c r="D6" s="6"/>
      <c r="E6" s="6"/>
    </row>
    <row r="7" spans="1:6" ht="20.149999999999999" customHeight="1" x14ac:dyDescent="0.35">
      <c r="A7" s="2" t="s">
        <v>47</v>
      </c>
      <c r="B7" s="69" t="s">
        <v>0</v>
      </c>
      <c r="C7" s="23" t="s">
        <v>1</v>
      </c>
      <c r="D7" s="102" t="s">
        <v>13</v>
      </c>
      <c r="E7" s="79" t="s">
        <v>15</v>
      </c>
      <c r="F7" s="19"/>
    </row>
    <row r="8" spans="1:6" ht="30" customHeight="1" x14ac:dyDescent="0.35">
      <c r="A8" s="42" t="s">
        <v>19</v>
      </c>
      <c r="B8" s="1" t="s">
        <v>2</v>
      </c>
      <c r="C8" s="1" t="s">
        <v>104</v>
      </c>
      <c r="D8" s="103">
        <f>IF(E8=0,0,INDEX(Tab_BdD[Imputation],E8))</f>
        <v>1</v>
      </c>
      <c r="E8" s="78">
        <f>IFERROR(MATCH(A8&amp;"|"&amp;$D$2&amp;"|"&amp;C8&amp;"|"&amp;$D$4&amp;"|"&amp;$D$5,Tab_BdD[ID],0),0)</f>
        <v>28</v>
      </c>
      <c r="F8" s="19"/>
    </row>
    <row r="9" spans="1:6" ht="30" customHeight="1" x14ac:dyDescent="0.35">
      <c r="A9" s="42" t="s">
        <v>19</v>
      </c>
      <c r="B9" s="16" t="s">
        <v>2</v>
      </c>
      <c r="C9" s="22" t="s">
        <v>4</v>
      </c>
      <c r="D9" s="103">
        <f>IF(E9=0,0,INDEX(Tab_BdD[Imputation],E9))</f>
        <v>0</v>
      </c>
      <c r="E9" s="78">
        <f>IFERROR(MATCH(A9&amp;"|"&amp;$D$2&amp;"|"&amp;C9&amp;"|"&amp;$D$4&amp;"|"&amp;$D$5,Tab_BdD[ID],0),0)</f>
        <v>0</v>
      </c>
      <c r="F9" s="19"/>
    </row>
    <row r="10" spans="1:6" ht="30" customHeight="1" x14ac:dyDescent="0.35">
      <c r="A10" s="42" t="s">
        <v>19</v>
      </c>
      <c r="B10" s="16" t="s">
        <v>3</v>
      </c>
      <c r="C10" s="1" t="s">
        <v>102</v>
      </c>
      <c r="D10" s="103">
        <f>IF(E10=0,0,INDEX(Tab_BdD[Imputation],E10))</f>
        <v>0</v>
      </c>
      <c r="E10" s="78">
        <f>IFERROR(MATCH(A10&amp;"|"&amp;$D$2&amp;"|"&amp;C10&amp;"|"&amp;$D$4&amp;"|"&amp;$D$5,Tab_BdD[ID],0),0)</f>
        <v>0</v>
      </c>
      <c r="F10" s="19"/>
    </row>
    <row r="11" spans="1:6" ht="30" customHeight="1" x14ac:dyDescent="0.35">
      <c r="A11" s="42" t="s">
        <v>19</v>
      </c>
      <c r="B11" s="16" t="s">
        <v>3</v>
      </c>
      <c r="C11" s="22" t="s">
        <v>98</v>
      </c>
      <c r="D11" s="103">
        <f>IF(E11=0,0,INDEX(Tab_BdD[Imputation],E11))</f>
        <v>0</v>
      </c>
      <c r="E11" s="78">
        <f>IFERROR(MATCH(A11&amp;"|"&amp;$D$2&amp;"|"&amp;C11&amp;"|"&amp;$D$4&amp;"|"&amp;$D$5,Tab_BdD[ID],0),0)</f>
        <v>0</v>
      </c>
      <c r="F11" s="19"/>
    </row>
    <row r="12" spans="1:6" ht="30" customHeight="1" x14ac:dyDescent="0.35">
      <c r="A12" s="42" t="s">
        <v>19</v>
      </c>
      <c r="B12" s="16" t="s">
        <v>51</v>
      </c>
      <c r="C12" s="1" t="s">
        <v>100</v>
      </c>
      <c r="D12" s="104">
        <f>IF(E12=0,0,INDEX(Tab_BdD[Imputation],E12))</f>
        <v>0</v>
      </c>
      <c r="E12" s="78">
        <f>IFERROR(MATCH(A12&amp;"|"&amp;$D$2&amp;"|"&amp;C12&amp;"|"&amp;$D$4&amp;"|"&amp;$D$5,Tab_BdD[ID],0),0)</f>
        <v>0</v>
      </c>
      <c r="F12" s="19"/>
    </row>
    <row r="13" spans="1:6" ht="30" customHeight="1" x14ac:dyDescent="0.35">
      <c r="A13" s="42" t="s">
        <v>19</v>
      </c>
      <c r="B13" s="1" t="s">
        <v>53</v>
      </c>
      <c r="C13" s="1" t="s">
        <v>101</v>
      </c>
      <c r="D13" s="104">
        <f>IF(E13=0,0,INDEX(Tab_BdD[Imputation],E13))</f>
        <v>0</v>
      </c>
      <c r="E13" s="78">
        <f>IFERROR(MATCH(A13&amp;"|"&amp;$D$2&amp;"|"&amp;C13&amp;"|"&amp;$D$4&amp;"|"&amp;$D$5,Tab_BdD[ID],0),0)</f>
        <v>0</v>
      </c>
      <c r="F13" s="19"/>
    </row>
    <row r="14" spans="1:6" ht="30" customHeight="1" x14ac:dyDescent="0.35">
      <c r="A14" s="42" t="s">
        <v>19</v>
      </c>
      <c r="B14" s="16" t="s">
        <v>53</v>
      </c>
      <c r="C14" s="1" t="s">
        <v>6</v>
      </c>
      <c r="D14" s="104">
        <f>IF(E14=0,0,INDEX(Tab_BdD[Imputation],E14))</f>
        <v>0</v>
      </c>
      <c r="E14" s="78">
        <f>IFERROR(MATCH(A14&amp;"|"&amp;$D$2&amp;"|"&amp;C14&amp;"|"&amp;$D$4&amp;"|"&amp;$D$5,Tab_BdD[ID],0),0)</f>
        <v>0</v>
      </c>
      <c r="F14" s="19"/>
    </row>
    <row r="15" spans="1:6" ht="30" customHeight="1" x14ac:dyDescent="0.35">
      <c r="A15" s="42" t="s">
        <v>19</v>
      </c>
      <c r="B15" s="16" t="s">
        <v>55</v>
      </c>
      <c r="C15" s="1" t="s">
        <v>50</v>
      </c>
      <c r="D15" s="104">
        <f>IF(E15=0,0,INDEX(Tab_BdD[Imputation],E15))</f>
        <v>0</v>
      </c>
      <c r="E15" s="78">
        <f>IFERROR(MATCH(A15&amp;"|"&amp;$D$2&amp;"|"&amp;C15&amp;"|"&amp;$D$4&amp;"|"&amp;$D$5,Tab_BdD[ID],0),0)</f>
        <v>0</v>
      </c>
      <c r="F15" s="19"/>
    </row>
    <row r="16" spans="1:6" ht="30" customHeight="1" x14ac:dyDescent="0.35">
      <c r="A16" s="42" t="s">
        <v>19</v>
      </c>
      <c r="B16" s="94" t="s">
        <v>55</v>
      </c>
      <c r="C16" s="1" t="s">
        <v>5</v>
      </c>
      <c r="D16" s="104">
        <f>IF(E16=0,0,INDEX(Tab_BdD[Imputation],E16))</f>
        <v>0</v>
      </c>
      <c r="E16" s="78">
        <f>IFERROR(MATCH(A16&amp;"|"&amp;$D$2&amp;"|"&amp;C16&amp;"|"&amp;$D$4&amp;"|"&amp;$D$5,Tab_BdD[ID],0),0)</f>
        <v>0</v>
      </c>
      <c r="F16" s="19"/>
    </row>
    <row r="17" spans="1:6" ht="30" customHeight="1" x14ac:dyDescent="0.35">
      <c r="A17" s="42" t="s">
        <v>19</v>
      </c>
      <c r="B17" s="43" t="s">
        <v>57</v>
      </c>
      <c r="C17" s="1" t="s">
        <v>7</v>
      </c>
      <c r="D17" s="104">
        <f>IF(E17=0,0,INDEX(Tab_BdD[Imputation],E17))</f>
        <v>4</v>
      </c>
      <c r="E17" s="78">
        <f>IFERROR(MATCH(A17&amp;"|"&amp;$D$2&amp;"|"&amp;C17&amp;"|"&amp;$D$4&amp;"|"&amp;$D$5,Tab_BdD[ID],0),0)</f>
        <v>26</v>
      </c>
      <c r="F17" s="19"/>
    </row>
    <row r="18" spans="1:6" ht="30" customHeight="1" x14ac:dyDescent="0.35">
      <c r="A18" s="42" t="s">
        <v>19</v>
      </c>
      <c r="B18" s="94" t="s">
        <v>57</v>
      </c>
      <c r="C18" s="1" t="s">
        <v>99</v>
      </c>
      <c r="D18" s="104">
        <f>IF(E18=0,0,INDEX(Tab_BdD[Imputation],E18))</f>
        <v>0</v>
      </c>
      <c r="E18" s="78">
        <f>IFERROR(MATCH(A18&amp;"|"&amp;$D$2&amp;"|"&amp;C18&amp;"|"&amp;$D$4&amp;"|"&amp;$D$5,Tab_BdD[ID],0),0)</f>
        <v>0</v>
      </c>
      <c r="F18" s="19"/>
    </row>
    <row r="19" spans="1:6" ht="30" customHeight="1" x14ac:dyDescent="0.35">
      <c r="A19" s="42" t="s">
        <v>19</v>
      </c>
      <c r="B19" s="44" t="s">
        <v>93</v>
      </c>
      <c r="C19" s="1" t="s">
        <v>103</v>
      </c>
      <c r="D19" s="104">
        <f>IF(E19=0,0,INDEX(Tab_BdD[Imputation],E19))</f>
        <v>3</v>
      </c>
      <c r="E19" s="78">
        <f>IFERROR(MATCH(A19&amp;"|"&amp;$D$2&amp;"|"&amp;C19&amp;"|"&amp;$D$4&amp;"|"&amp;$D$5,Tab_BdD[ID],0),0)</f>
        <v>27</v>
      </c>
      <c r="F19" s="19"/>
    </row>
    <row r="20" spans="1:6" s="19" customFormat="1" ht="30" customHeight="1" x14ac:dyDescent="0.35">
      <c r="A20" s="20"/>
      <c r="B20" s="29"/>
      <c r="C20" s="30"/>
      <c r="D20" s="31"/>
      <c r="E20" s="45"/>
    </row>
    <row r="21" spans="1:6" ht="20.149999999999999" customHeight="1" x14ac:dyDescent="0.35">
      <c r="A21" s="73" t="s">
        <v>47</v>
      </c>
      <c r="B21" s="74" t="s">
        <v>21</v>
      </c>
      <c r="C21" s="75" t="s">
        <v>22</v>
      </c>
      <c r="D21" s="82" t="s">
        <v>82</v>
      </c>
      <c r="E21" s="81" t="s">
        <v>95</v>
      </c>
    </row>
    <row r="22" spans="1:6" ht="20.149999999999999" customHeight="1" x14ac:dyDescent="0.35">
      <c r="A22" s="53" t="s">
        <v>20</v>
      </c>
      <c r="B22" s="8" t="s">
        <v>23</v>
      </c>
      <c r="C22" s="9" t="s">
        <v>24</v>
      </c>
      <c r="D22" s="70">
        <f>IF(E22=0,0,INDEX(Tab_BdD[Imputation],E22))</f>
        <v>0</v>
      </c>
      <c r="E22" s="80">
        <f>IFERROR(MATCH(Tableau16[[#This Row],[Fonction]]&amp;"|"&amp;$D$2&amp;"|"&amp;C22&amp;"|"&amp;$D$4&amp;"|"&amp;$D$5,Tab_BdD[ID],0),0)</f>
        <v>0</v>
      </c>
    </row>
    <row r="23" spans="1:6" ht="20.149999999999999" customHeight="1" x14ac:dyDescent="0.35">
      <c r="A23" s="53" t="s">
        <v>20</v>
      </c>
      <c r="B23" s="8" t="s">
        <v>23</v>
      </c>
      <c r="C23" s="9" t="s">
        <v>25</v>
      </c>
      <c r="D23" s="71">
        <f>IF(E23=0,0,INDEX(Tab_BdD[Imputation],E23))</f>
        <v>0</v>
      </c>
      <c r="E23" s="80">
        <f>IFERROR(MATCH(Tableau16[[#This Row],[Fonction]]&amp;"|"&amp;$D$2&amp;"|"&amp;C23&amp;"|"&amp;$D$4&amp;"|"&amp;$D$5,Tab_BdD[ID],0),0)</f>
        <v>0</v>
      </c>
    </row>
    <row r="24" spans="1:6" ht="20.149999999999999" customHeight="1" x14ac:dyDescent="0.35">
      <c r="A24" s="53" t="s">
        <v>20</v>
      </c>
      <c r="B24" s="8" t="s">
        <v>23</v>
      </c>
      <c r="C24" s="9" t="s">
        <v>26</v>
      </c>
      <c r="D24" s="72">
        <f>IF(E24=0,0,INDEX(Tab_BdD[Imputation],E24))</f>
        <v>0</v>
      </c>
      <c r="E24" s="80">
        <f>IFERROR(MATCH(Tableau16[[#This Row],[Fonction]]&amp;"|"&amp;$D$2&amp;"|"&amp;C24&amp;"|"&amp;$D$4&amp;"|"&amp;$D$5,Tab_BdD[ID],0),0)</f>
        <v>0</v>
      </c>
    </row>
    <row r="25" spans="1:6" ht="20.149999999999999" customHeight="1" x14ac:dyDescent="0.35">
      <c r="A25" s="53" t="s">
        <v>20</v>
      </c>
      <c r="B25" s="8" t="s">
        <v>23</v>
      </c>
      <c r="C25" s="9" t="s">
        <v>27</v>
      </c>
      <c r="D25" s="72">
        <f>IF(E25=0,0,INDEX(Tab_BdD[Imputation],E25))</f>
        <v>0</v>
      </c>
      <c r="E25" s="80">
        <f>IFERROR(MATCH(Tableau16[[#This Row],[Fonction]]&amp;"|"&amp;$D$2&amp;"|"&amp;C25&amp;"|"&amp;$D$4&amp;"|"&amp;$D$5,Tab_BdD[ID],0),0)</f>
        <v>0</v>
      </c>
    </row>
    <row r="26" spans="1:6" ht="20.149999999999999" customHeight="1" x14ac:dyDescent="0.35">
      <c r="A26" s="53" t="s">
        <v>20</v>
      </c>
      <c r="B26" s="8" t="s">
        <v>23</v>
      </c>
      <c r="C26" s="9" t="s">
        <v>28</v>
      </c>
      <c r="D26" s="72">
        <f>IF(E26=0,0,INDEX(Tab_BdD[Imputation],E26))</f>
        <v>0</v>
      </c>
      <c r="E26" s="80">
        <f>IFERROR(MATCH(Tableau16[[#This Row],[Fonction]]&amp;"|"&amp;$D$2&amp;"|"&amp;C26&amp;"|"&amp;$D$4&amp;"|"&amp;$D$5,Tab_BdD[ID],0),0)</f>
        <v>0</v>
      </c>
    </row>
    <row r="27" spans="1:6" ht="20.149999999999999" customHeight="1" x14ac:dyDescent="0.35">
      <c r="A27" s="53" t="s">
        <v>20</v>
      </c>
      <c r="B27" s="8" t="s">
        <v>23</v>
      </c>
      <c r="C27" s="9" t="s">
        <v>29</v>
      </c>
      <c r="D27" s="72">
        <f>IF(E27=0,0,INDEX(Tab_BdD[Imputation],E27))</f>
        <v>0</v>
      </c>
      <c r="E27" s="80">
        <f>IFERROR(MATCH(Tableau16[[#This Row],[Fonction]]&amp;"|"&amp;$D$2&amp;"|"&amp;C27&amp;"|"&amp;$D$4&amp;"|"&amp;$D$5,Tab_BdD[ID],0),0)</f>
        <v>0</v>
      </c>
    </row>
    <row r="28" spans="1:6" ht="20.149999999999999" customHeight="1" x14ac:dyDescent="0.35">
      <c r="A28" s="53" t="s">
        <v>20</v>
      </c>
      <c r="B28" s="8" t="s">
        <v>23</v>
      </c>
      <c r="C28" s="9" t="s">
        <v>30</v>
      </c>
      <c r="D28" s="72">
        <f>IF(E28=0,0,INDEX(Tab_BdD[Imputation],E28))</f>
        <v>0</v>
      </c>
      <c r="E28" s="80">
        <f>IFERROR(MATCH(Tableau16[[#This Row],[Fonction]]&amp;"|"&amp;$D$2&amp;"|"&amp;C28&amp;"|"&amp;$D$4&amp;"|"&amp;$D$5,Tab_BdD[ID],0),0)</f>
        <v>0</v>
      </c>
    </row>
    <row r="29" spans="1:6" ht="20.149999999999999" customHeight="1" x14ac:dyDescent="0.35">
      <c r="A29" s="53" t="s">
        <v>20</v>
      </c>
      <c r="B29" s="10" t="s">
        <v>31</v>
      </c>
      <c r="C29" s="9" t="s">
        <v>38</v>
      </c>
      <c r="D29" s="72">
        <f>IF(E29=0,0,INDEX(Tab_BdD[Imputation],E29))</f>
        <v>0</v>
      </c>
      <c r="E29" s="80">
        <f>IFERROR(MATCH(Tableau16[[#This Row],[Fonction]]&amp;"|"&amp;$D$2&amp;"|"&amp;C29&amp;"|"&amp;$D$4&amp;"|"&amp;$D$5,Tab_BdD[ID],0),0)</f>
        <v>0</v>
      </c>
    </row>
    <row r="30" spans="1:6" ht="20.149999999999999" customHeight="1" x14ac:dyDescent="0.35">
      <c r="A30" s="53" t="s">
        <v>20</v>
      </c>
      <c r="B30" s="10" t="s">
        <v>31</v>
      </c>
      <c r="C30" s="9" t="s">
        <v>39</v>
      </c>
      <c r="D30" s="72">
        <f>IF(E30=0,0,INDEX(Tab_BdD[Imputation],E30))</f>
        <v>2</v>
      </c>
      <c r="E30" s="80">
        <f>IFERROR(MATCH(Tableau16[[#This Row],[Fonction]]&amp;"|"&amp;$D$2&amp;"|"&amp;C30&amp;"|"&amp;$D$4&amp;"|"&amp;$D$5,Tab_BdD[ID],0),0)</f>
        <v>29</v>
      </c>
    </row>
    <row r="31" spans="1:6" ht="20.149999999999999" customHeight="1" x14ac:dyDescent="0.35">
      <c r="A31" s="53" t="s">
        <v>20</v>
      </c>
      <c r="B31" s="10" t="s">
        <v>31</v>
      </c>
      <c r="C31" s="9" t="s">
        <v>41</v>
      </c>
      <c r="D31" s="72">
        <f>IF(E31=0,0,INDEX(Tab_BdD[Imputation],E31))</f>
        <v>0</v>
      </c>
      <c r="E31" s="80">
        <f>IFERROR(MATCH(Tableau16[[#This Row],[Fonction]]&amp;"|"&amp;$D$2&amp;"|"&amp;C31&amp;"|"&amp;$D$4&amp;"|"&amp;$D$5,Tab_BdD[ID],0),0)</f>
        <v>0</v>
      </c>
    </row>
    <row r="32" spans="1:6" ht="20.149999999999999" customHeight="1" x14ac:dyDescent="0.35">
      <c r="A32" s="53" t="s">
        <v>20</v>
      </c>
      <c r="B32" s="10" t="s">
        <v>31</v>
      </c>
      <c r="C32" s="9" t="s">
        <v>42</v>
      </c>
      <c r="D32" s="72">
        <f>IFERROR(INDEX(Tab_BdD[Imputation],E32),0)</f>
        <v>0</v>
      </c>
      <c r="E32" s="80">
        <f>IFERROR(MATCH(Tableau16[[#This Row],[Fonction]]&amp;"|"&amp;$D$2&amp;"|"&amp;C32&amp;"|"&amp;$D$4&amp;"|"&amp;$D$5,Tab_BdD[ID],0),0)</f>
        <v>0</v>
      </c>
    </row>
    <row r="33" spans="1:8" ht="20.149999999999999" customHeight="1" x14ac:dyDescent="0.35">
      <c r="A33" s="53" t="s">
        <v>20</v>
      </c>
      <c r="B33" s="10" t="s">
        <v>31</v>
      </c>
      <c r="C33" s="9" t="s">
        <v>44</v>
      </c>
      <c r="D33" s="72">
        <f>IFERROR(INDEX(Tab_BdD[Imputation],E33),0)</f>
        <v>0</v>
      </c>
      <c r="E33" s="80">
        <f>IFERROR(MATCH(Tableau16[[#This Row],[Fonction]]&amp;"|"&amp;$D$2&amp;"|"&amp;C33&amp;"|"&amp;$D$4&amp;"|"&amp;$D$5,Tab_BdD[ID],0),0)</f>
        <v>0</v>
      </c>
    </row>
    <row r="34" spans="1:8" ht="20.149999999999999" customHeight="1" x14ac:dyDescent="0.35">
      <c r="A34" s="53" t="s">
        <v>20</v>
      </c>
      <c r="B34" s="11" t="s">
        <v>37</v>
      </c>
      <c r="C34" s="9" t="s">
        <v>32</v>
      </c>
      <c r="D34" s="72">
        <f>IF(E34=0,0,INDEX(Tab_BdD[Imputation],E34))</f>
        <v>0</v>
      </c>
      <c r="E34" s="80">
        <f>IFERROR(MATCH(Tableau16[[#This Row],[Fonction]]&amp;"|"&amp;$D$2&amp;"|"&amp;C34&amp;"|"&amp;$D$4&amp;"|"&amp;$D$5,Tab_BdD[ID],0),0)</f>
        <v>0</v>
      </c>
      <c r="H34" s="49"/>
    </row>
    <row r="35" spans="1:8" ht="20.149999999999999" customHeight="1" x14ac:dyDescent="0.35">
      <c r="A35" s="53" t="s">
        <v>20</v>
      </c>
      <c r="B35" s="11" t="s">
        <v>37</v>
      </c>
      <c r="C35" s="9" t="s">
        <v>33</v>
      </c>
      <c r="D35" s="72">
        <f>IF(E35=0,0,INDEX(Tab_BdD[Imputation],E35))</f>
        <v>0</v>
      </c>
      <c r="E35" s="80">
        <f>IFERROR(MATCH(Tableau16[[#This Row],[Fonction]]&amp;"|"&amp;$D$2&amp;"|"&amp;C35&amp;"|"&amp;$D$4&amp;"|"&amp;$D$5,Tab_BdD[ID],0),0)</f>
        <v>0</v>
      </c>
    </row>
    <row r="36" spans="1:8" ht="20.149999999999999" customHeight="1" x14ac:dyDescent="0.35">
      <c r="A36" s="53" t="s">
        <v>20</v>
      </c>
      <c r="B36" s="12" t="s">
        <v>40</v>
      </c>
      <c r="C36" s="9" t="s">
        <v>35</v>
      </c>
      <c r="D36" s="72">
        <f>IFERROR(INDEX(Tab_BdD[Imputation],E36),0)</f>
        <v>0</v>
      </c>
      <c r="E36" s="80">
        <f>IFERROR(MATCH(Tableau16[[#This Row],[Fonction]]&amp;"|"&amp;$D$2&amp;"|"&amp;C36&amp;"|"&amp;$D$4&amp;"|"&amp;$D$5,Tab_BdD[ID],0),0)</f>
        <v>0</v>
      </c>
    </row>
    <row r="37" spans="1:8" ht="20.149999999999999" customHeight="1" x14ac:dyDescent="0.35">
      <c r="A37" s="53" t="s">
        <v>20</v>
      </c>
      <c r="B37" s="12" t="s">
        <v>40</v>
      </c>
      <c r="C37" s="9" t="s">
        <v>36</v>
      </c>
      <c r="D37" s="72">
        <f>IFERROR(INDEX(Tab_BdD[Imputation],E37),0)</f>
        <v>0</v>
      </c>
      <c r="E37" s="80">
        <f>IFERROR(MATCH(Tableau16[[#This Row],[Fonction]]&amp;"|"&amp;$D$2&amp;"|"&amp;C37&amp;"|"&amp;$D$4&amp;"|"&amp;$D$5,Tab_BdD[ID],0),0)</f>
        <v>0</v>
      </c>
    </row>
    <row r="38" spans="1:8" ht="20.149999999999999" customHeight="1" x14ac:dyDescent="0.35">
      <c r="A38" s="53" t="s">
        <v>20</v>
      </c>
      <c r="B38" s="13" t="s">
        <v>43</v>
      </c>
      <c r="C38" s="9" t="s">
        <v>34</v>
      </c>
      <c r="D38" s="72">
        <f>IF(E38=0,0,INDEX(Tab_BdD[Imputation],E38))</f>
        <v>0</v>
      </c>
      <c r="E38" s="80">
        <f>IFERROR(MATCH(Tableau16[[#This Row],[Fonction]]&amp;"|"&amp;$D$2&amp;"|"&amp;C38&amp;"|"&amp;$D$4&amp;"|"&amp;$D$5,Tab_BdD[ID],0),0)</f>
        <v>0</v>
      </c>
    </row>
    <row r="39" spans="1:8" ht="20.149999999999999" customHeight="1" x14ac:dyDescent="0.35">
      <c r="A39" s="54" t="s">
        <v>45</v>
      </c>
      <c r="B39" s="76" t="s">
        <v>94</v>
      </c>
      <c r="C39" s="77" t="s">
        <v>46</v>
      </c>
      <c r="D39" s="41">
        <f>IF(E39=0,0,INDEX(Tab_BdD[Imputation],E39))</f>
        <v>0</v>
      </c>
      <c r="E39" s="80">
        <f>IFERROR(MATCH(Tableau16[[#This Row],[Fonction]]&amp;"|"&amp;$D$2&amp;"|"&amp;C39&amp;"|"&amp;$D$4&amp;"|"&amp;$D$5,Tab_BdD[ID],0),0)</f>
        <v>0</v>
      </c>
    </row>
    <row r="46" spans="1:8" x14ac:dyDescent="0.35">
      <c r="A46" s="6"/>
    </row>
    <row r="47" spans="1:8" x14ac:dyDescent="0.35">
      <c r="A47" s="6"/>
    </row>
    <row r="48" spans="1:8" x14ac:dyDescent="0.35">
      <c r="A48" s="6"/>
    </row>
    <row r="49" spans="1:1" x14ac:dyDescent="0.35">
      <c r="A49" s="6"/>
    </row>
    <row r="50" spans="1:1" x14ac:dyDescent="0.35">
      <c r="A50" s="6"/>
    </row>
  </sheetData>
  <sortState ref="B22:B38">
    <sortCondition ref="B22:B38"/>
  </sortState>
  <mergeCells count="1">
    <mergeCell ref="B1:E1"/>
  </mergeCells>
  <conditionalFormatting sqref="B22:B39">
    <cfRule type="expression" dxfId="14" priority="1">
      <formula>$C22="AUTRES"</formula>
    </cfRule>
    <cfRule type="expression" dxfId="13" priority="2">
      <formula>$C22="DIVERS"</formula>
    </cfRule>
    <cfRule type="expression" dxfId="12" priority="3">
      <formula>$C22="FORMATION"</formula>
    </cfRule>
    <cfRule type="expression" dxfId="11" priority="4">
      <formula>$C22="BENEVOLAT"</formula>
    </cfRule>
    <cfRule type="expression" dxfId="10" priority="5">
      <formula>$C22="PROSPECTS"</formula>
    </cfRule>
    <cfRule type="expression" dxfId="9" priority="6">
      <formula>$B22="ADMINISTRATIF ET MANAGEMENT"</formula>
    </cfRule>
  </conditionalFormatting>
  <dataValidations count="1">
    <dataValidation type="custom" allowBlank="1" showInputMessage="1" showErrorMessage="1" errorTitle="Ce nom a déjà été attribué" error="Vous ne pouvez pas saisir en doublon le nom d'un projet" sqref="C8:C12">
      <formula1>COUNTIF(C:C,C8)=1</formula1>
    </dataValidation>
  </dataValidations>
  <pageMargins left="0.7" right="0.7" top="0.75" bottom="0.75" header="0.3" footer="0.3"/>
  <tableParts count="2">
    <tablePart r:id="rId1"/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>
          <x14:formula1>
            <xm:f>'Paramètres - Listes de validité'!$C$4:$C$8</xm:f>
          </x14:formula1>
          <xm:sqref>D2</xm:sqref>
        </x14:dataValidation>
        <x14:dataValidation type="list" showDropDown="1" showInputMessage="1" showErrorMessage="1">
          <x14:formula1>
            <xm:f>'Paramètres - Listes de validité'!$A$4:$A$10</xm:f>
          </x14:formula1>
          <xm:sqref>B11</xm:sqref>
        </x14:dataValidation>
        <x14:dataValidation type="list" showDropDown="1" showInputMessage="1" showErrorMessage="1">
          <x14:formula1>
            <xm:f>'Paramètres - Listes de validité'!$A$4:$A$10</xm:f>
          </x14:formula1>
          <xm:sqref>B8:B10</xm:sqref>
        </x14:dataValidation>
        <x14:dataValidation type="list" showDropDown="1" showInputMessage="1" showErrorMessage="1">
          <x14:formula1>
            <xm:f>'Paramètres - Listes de validité'!$A$4:$A$9</xm:f>
          </x14:formula1>
          <xm:sqref>B12:B19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30"/>
  <sheetViews>
    <sheetView tabSelected="1" topLeftCell="B1" workbookViewId="0">
      <selection activeCell="H2" sqref="H2"/>
    </sheetView>
  </sheetViews>
  <sheetFormatPr baseColWidth="10" defaultRowHeight="14.5" outlineLevelCol="1" x14ac:dyDescent="0.35"/>
  <cols>
    <col min="1" max="1" width="11.453125" hidden="1" customWidth="1" outlineLevel="1"/>
    <col min="2" max="2" width="15.7265625" style="64" customWidth="1" collapsed="1"/>
    <col min="3" max="3" width="25.7265625" style="5" customWidth="1"/>
    <col min="4" max="4" width="11.453125" style="60"/>
    <col min="5" max="5" width="11.453125" style="14"/>
    <col min="6" max="6" width="12.1796875" style="101" customWidth="1"/>
    <col min="7" max="7" width="45.7265625" style="5" customWidth="1"/>
    <col min="8" max="8" width="18.7265625" style="65" customWidth="1"/>
    <col min="9" max="9" width="11.453125" customWidth="1" outlineLevel="1"/>
  </cols>
  <sheetData>
    <row r="1" spans="1:9" s="24" customFormat="1" ht="15" customHeight="1" x14ac:dyDescent="0.35">
      <c r="A1" s="24" t="s">
        <v>47</v>
      </c>
      <c r="B1" s="62" t="s">
        <v>11</v>
      </c>
      <c r="C1" s="24" t="s">
        <v>22</v>
      </c>
      <c r="D1" s="58" t="s">
        <v>12</v>
      </c>
      <c r="E1" s="24" t="s">
        <v>10</v>
      </c>
      <c r="F1" s="61" t="s">
        <v>13</v>
      </c>
      <c r="G1" s="24" t="s">
        <v>14</v>
      </c>
      <c r="H1" s="110" t="s">
        <v>83</v>
      </c>
      <c r="I1" s="24" t="s">
        <v>92</v>
      </c>
    </row>
    <row r="2" spans="1:9" x14ac:dyDescent="0.35">
      <c r="A2" s="96" t="s">
        <v>19</v>
      </c>
      <c r="B2" s="63" t="s">
        <v>52</v>
      </c>
      <c r="C2" s="26" t="s">
        <v>6</v>
      </c>
      <c r="D2" s="59">
        <v>2019</v>
      </c>
      <c r="E2" s="25">
        <v>2</v>
      </c>
      <c r="F2" s="100">
        <v>3</v>
      </c>
      <c r="G2" s="27" t="str">
        <f>Tab_BdD[[#This Row],[Fonction]]&amp;"|"&amp;Tab_BdD[[#This Row],[Salarié]]&amp;"|"&amp;Tab_BdD[[#This Row],[Nom]]&amp;"|"&amp;Tab_BdD[[#This Row],[Année]]&amp;"|"&amp;Tab_BdD[[#This Row],[Semaine]]</f>
        <v>Productif|O|C|2019|2</v>
      </c>
      <c r="H2" s="97">
        <f>Tab_BdD[[#This Row],[Imputation]]*INDEX('Coût horaire'!$I$1:$K$6,MATCH(Tab_BdD[[#This Row],[Salarié]],'Coût horaire'!$I$1:$I$6,0),MATCH(Tab_BdD[[#This Row],[Année]],'Coût horaire'!$I$1:$K$1,0))</f>
        <v>121.34894991922452</v>
      </c>
      <c r="I2" s="96">
        <f>IFERROR(INDEX(Tab_Projet[N°],MATCH(Tab_BdD[[#This Row],[Nom]],Tab_Projet[Nom],0)),"Divers")</f>
        <v>3</v>
      </c>
    </row>
    <row r="3" spans="1:9" x14ac:dyDescent="0.35">
      <c r="A3" s="96" t="s">
        <v>19</v>
      </c>
      <c r="B3" s="63" t="s">
        <v>52</v>
      </c>
      <c r="C3" s="26" t="s">
        <v>4</v>
      </c>
      <c r="D3" s="59">
        <v>2019</v>
      </c>
      <c r="E3" s="25">
        <v>2</v>
      </c>
      <c r="F3" s="100">
        <v>2</v>
      </c>
      <c r="G3" s="27" t="str">
        <f>Tab_BdD[[#This Row],[Fonction]]&amp;"|"&amp;Tab_BdD[[#This Row],[Salarié]]&amp;"|"&amp;Tab_BdD[[#This Row],[Nom]]&amp;"|"&amp;Tab_BdD[[#This Row],[Année]]&amp;"|"&amp;Tab_BdD[[#This Row],[Semaine]]</f>
        <v>Productif|O|A|2019|2</v>
      </c>
      <c r="H3" s="97">
        <f>Tab_BdD[[#This Row],[Imputation]]*INDEX('Coût horaire'!$I$1:$K$6,MATCH(Tab_BdD[[#This Row],[Salarié]],'Coût horaire'!$I$1:$I$6,0),MATCH(Tab_BdD[[#This Row],[Année]],'Coût horaire'!$I$1:$K$1,0))</f>
        <v>80.899299946149682</v>
      </c>
      <c r="I3" s="96">
        <f>IFERROR(INDEX(Tab_Projet[N°],MATCH(Tab_BdD[[#This Row],[Nom]],Tab_Projet[Nom],0)),"Divers")</f>
        <v>1</v>
      </c>
    </row>
    <row r="4" spans="1:9" ht="26" x14ac:dyDescent="0.35">
      <c r="A4" s="96" t="s">
        <v>20</v>
      </c>
      <c r="B4" s="63" t="s">
        <v>52</v>
      </c>
      <c r="C4" s="26" t="s">
        <v>29</v>
      </c>
      <c r="D4" s="59">
        <v>2019</v>
      </c>
      <c r="E4" s="25">
        <v>2</v>
      </c>
      <c r="F4" s="100">
        <v>1</v>
      </c>
      <c r="G4" s="27" t="str">
        <f>Tab_BdD[[#This Row],[Fonction]]&amp;"|"&amp;Tab_BdD[[#This Row],[Salarié]]&amp;"|"&amp;Tab_BdD[[#This Row],[Nom]]&amp;"|"&amp;Tab_BdD[[#This Row],[Année]]&amp;"|"&amp;Tab_BdD[[#This Row],[Semaine]]</f>
        <v>Prospect et support|O|ENCADREMENT STAGIAIRE|2019|2</v>
      </c>
      <c r="H4" s="97">
        <f>Tab_BdD[[#This Row],[Imputation]]*INDEX('Coût horaire'!$I$1:$K$6,MATCH(Tab_BdD[[#This Row],[Salarié]],'Coût horaire'!$I$1:$I$6,0),MATCH(Tab_BdD[[#This Row],[Année]],'Coût horaire'!$I$1:$K$1,0))</f>
        <v>40.449649973074841</v>
      </c>
      <c r="I4" s="96" t="str">
        <f>IFERROR(INDEX(Tab_Projet[N°],MATCH(Tab_BdD[[#This Row],[Nom]],Tab_Projet[Nom],0)),"Divers")</f>
        <v>Divers</v>
      </c>
    </row>
    <row r="5" spans="1:9" x14ac:dyDescent="0.35">
      <c r="A5" s="96" t="s">
        <v>19</v>
      </c>
      <c r="B5" s="63" t="s">
        <v>52</v>
      </c>
      <c r="C5" s="26" t="s">
        <v>7</v>
      </c>
      <c r="D5" s="59">
        <v>2021</v>
      </c>
      <c r="E5" s="25">
        <v>2</v>
      </c>
      <c r="F5" s="100">
        <v>1</v>
      </c>
      <c r="G5" s="27" t="str">
        <f>Tab_BdD[[#This Row],[Fonction]]&amp;"|"&amp;Tab_BdD[[#This Row],[Salarié]]&amp;"|"&amp;Tab_BdD[[#This Row],[Nom]]&amp;"|"&amp;Tab_BdD[[#This Row],[Année]]&amp;"|"&amp;Tab_BdD[[#This Row],[Semaine]]</f>
        <v>Productif|O|D|2021|2</v>
      </c>
      <c r="H5" s="97" t="e">
        <f>Tab_BdD[[#This Row],[Imputation]]*INDEX('Coût horaire'!$I$1:$K$6,MATCH(Tab_BdD[[#This Row],[Salarié]],'Coût horaire'!$I$1:$I$6,0),MATCH(Tab_BdD[[#This Row],[Année]],'Coût horaire'!$I$1:$K$1,0))</f>
        <v>#N/A</v>
      </c>
      <c r="I5" s="96">
        <f>IFERROR(INDEX(Tab_Projet[N°],MATCH(Tab_BdD[[#This Row],[Nom]],Tab_Projet[Nom],0)),"Divers")</f>
        <v>11</v>
      </c>
    </row>
    <row r="6" spans="1:9" x14ac:dyDescent="0.35">
      <c r="A6" s="96" t="s">
        <v>19</v>
      </c>
      <c r="B6" s="63" t="s">
        <v>50</v>
      </c>
      <c r="C6" s="98" t="s">
        <v>99</v>
      </c>
      <c r="D6" s="59">
        <v>2019</v>
      </c>
      <c r="E6" s="25">
        <v>2</v>
      </c>
      <c r="F6" s="100">
        <v>3</v>
      </c>
      <c r="G6" s="27" t="str">
        <f>Tab_BdD[[#This Row],[Fonction]]&amp;"|"&amp;Tab_BdD[[#This Row],[Salarié]]&amp;"|"&amp;Tab_BdD[[#This Row],[Nom]]&amp;"|"&amp;Tab_BdD[[#This Row],[Année]]&amp;"|"&amp;Tab_BdD[[#This Row],[Semaine]]</f>
        <v>Productif|G|E|2019|2</v>
      </c>
      <c r="H6" s="97">
        <f>Tab_BdD[[#This Row],[Imputation]]*INDEX('Coût horaire'!$I$1:$K$6,MATCH(Tab_BdD[[#This Row],[Salarié]],'Coût horaire'!$I$1:$I$6,0),MATCH(Tab_BdD[[#This Row],[Année]],'Coût horaire'!$I$1:$K$1,0))</f>
        <v>83.210259115184272</v>
      </c>
      <c r="I6" s="96">
        <f>IFERROR(INDEX(Tab_Projet[N°],MATCH(Tab_BdD[[#This Row],[Nom]],Tab_Projet[Nom],0)),"Divers")</f>
        <v>4</v>
      </c>
    </row>
    <row r="7" spans="1:9" x14ac:dyDescent="0.35">
      <c r="A7" s="96" t="s">
        <v>19</v>
      </c>
      <c r="B7" s="63" t="s">
        <v>50</v>
      </c>
      <c r="C7" s="26" t="s">
        <v>98</v>
      </c>
      <c r="D7" s="59">
        <v>2019</v>
      </c>
      <c r="E7" s="25">
        <v>18</v>
      </c>
      <c r="F7" s="100">
        <v>5</v>
      </c>
      <c r="G7" s="27" t="str">
        <f>Tab_BdD[[#This Row],[Fonction]]&amp;"|"&amp;Tab_BdD[[#This Row],[Salarié]]&amp;"|"&amp;Tab_BdD[[#This Row],[Nom]]&amp;"|"&amp;Tab_BdD[[#This Row],[Année]]&amp;"|"&amp;Tab_BdD[[#This Row],[Semaine]]</f>
        <v>Productif|G|F|2019|18</v>
      </c>
      <c r="H7" s="97">
        <f>Tab_BdD[[#This Row],[Imputation]]*INDEX('Coût horaire'!$I$1:$K$6,MATCH(Tab_BdD[[#This Row],[Salarié]],'Coût horaire'!$I$1:$I$6,0),MATCH(Tab_BdD[[#This Row],[Année]],'Coût horaire'!$I$1:$K$1,0))</f>
        <v>138.68376519197381</v>
      </c>
      <c r="I7" s="96">
        <f>IFERROR(INDEX(Tab_Projet[N°],MATCH(Tab_BdD[[#This Row],[Nom]],Tab_Projet[Nom],0)),"Divers")</f>
        <v>5</v>
      </c>
    </row>
    <row r="8" spans="1:9" x14ac:dyDescent="0.35">
      <c r="A8" s="96" t="s">
        <v>19</v>
      </c>
      <c r="B8" s="63" t="s">
        <v>50</v>
      </c>
      <c r="C8" s="26" t="s">
        <v>7</v>
      </c>
      <c r="D8" s="59">
        <v>2019</v>
      </c>
      <c r="E8" s="25">
        <v>18</v>
      </c>
      <c r="F8" s="100">
        <v>2</v>
      </c>
      <c r="G8" s="27" t="str">
        <f>Tab_BdD[[#This Row],[Fonction]]&amp;"|"&amp;Tab_BdD[[#This Row],[Salarié]]&amp;"|"&amp;Tab_BdD[[#This Row],[Nom]]&amp;"|"&amp;Tab_BdD[[#This Row],[Année]]&amp;"|"&amp;Tab_BdD[[#This Row],[Semaine]]</f>
        <v>Productif|G|D|2019|18</v>
      </c>
      <c r="H8" s="97">
        <f>Tab_BdD[[#This Row],[Imputation]]*INDEX('Coût horaire'!$I$1:$K$6,MATCH(Tab_BdD[[#This Row],[Salarié]],'Coût horaire'!$I$1:$I$6,0),MATCH(Tab_BdD[[#This Row],[Année]],'Coût horaire'!$I$1:$K$1,0))</f>
        <v>55.473506076789519</v>
      </c>
      <c r="I8" s="96">
        <f>IFERROR(INDEX(Tab_Projet[N°],MATCH(Tab_BdD[[#This Row],[Nom]],Tab_Projet[Nom],0)),"Divers")</f>
        <v>11</v>
      </c>
    </row>
    <row r="9" spans="1:9" ht="26" x14ac:dyDescent="0.35">
      <c r="A9" s="96" t="s">
        <v>20</v>
      </c>
      <c r="B9" s="63" t="s">
        <v>50</v>
      </c>
      <c r="C9" s="26" t="s">
        <v>26</v>
      </c>
      <c r="D9" s="59">
        <v>2019</v>
      </c>
      <c r="E9" s="25">
        <v>18</v>
      </c>
      <c r="F9" s="100">
        <v>2</v>
      </c>
      <c r="G9" s="27" t="str">
        <f>Tab_BdD[[#This Row],[Fonction]]&amp;"|"&amp;Tab_BdD[[#This Row],[Salarié]]&amp;"|"&amp;Tab_BdD[[#This Row],[Nom]]&amp;"|"&amp;Tab_BdD[[#This Row],[Année]]&amp;"|"&amp;Tab_BdD[[#This Row],[Semaine]]</f>
        <v>Prospect et support|G|ADMINISTRATIF|2019|18</v>
      </c>
      <c r="H9" s="97">
        <f>Tab_BdD[[#This Row],[Imputation]]*INDEX('Coût horaire'!$I$1:$K$6,MATCH(Tab_BdD[[#This Row],[Salarié]],'Coût horaire'!$I$1:$I$6,0),MATCH(Tab_BdD[[#This Row],[Année]],'Coût horaire'!$I$1:$K$1,0))</f>
        <v>55.473506076789519</v>
      </c>
      <c r="I9" s="96" t="str">
        <f>IFERROR(INDEX(Tab_Projet[N°],MATCH(Tab_BdD[[#This Row],[Nom]],Tab_Projet[Nom],0)),"Divers")</f>
        <v>Divers</v>
      </c>
    </row>
    <row r="10" spans="1:9" ht="26" x14ac:dyDescent="0.35">
      <c r="A10" s="96" t="s">
        <v>20</v>
      </c>
      <c r="B10" s="63" t="s">
        <v>50</v>
      </c>
      <c r="C10" s="26" t="s">
        <v>38</v>
      </c>
      <c r="D10" s="59">
        <v>2019</v>
      </c>
      <c r="E10" s="25">
        <v>18</v>
      </c>
      <c r="F10" s="100">
        <v>2</v>
      </c>
      <c r="G10" s="27" t="str">
        <f>Tab_BdD[[#This Row],[Fonction]]&amp;"|"&amp;Tab_BdD[[#This Row],[Salarié]]&amp;"|"&amp;Tab_BdD[[#This Row],[Nom]]&amp;"|"&amp;Tab_BdD[[#This Row],[Année]]&amp;"|"&amp;Tab_BdD[[#This Row],[Semaine]]</f>
        <v>Prospect et support|G|EVBDM - CESBA|2019|18</v>
      </c>
      <c r="H10" s="97">
        <f>Tab_BdD[[#This Row],[Imputation]]*INDEX('Coût horaire'!$I$1:$K$6,MATCH(Tab_BdD[[#This Row],[Salarié]],'Coût horaire'!$I$1:$I$6,0),MATCH(Tab_BdD[[#This Row],[Année]],'Coût horaire'!$I$1:$K$1,0))</f>
        <v>55.473506076789519</v>
      </c>
      <c r="I10" s="96" t="str">
        <f>IFERROR(INDEX(Tab_Projet[N°],MATCH(Tab_BdD[[#This Row],[Nom]],Tab_Projet[Nom],0)),"Divers")</f>
        <v>Divers</v>
      </c>
    </row>
    <row r="11" spans="1:9" x14ac:dyDescent="0.35">
      <c r="A11" s="96" t="s">
        <v>19</v>
      </c>
      <c r="B11" s="63" t="s">
        <v>54</v>
      </c>
      <c r="C11" s="26" t="s">
        <v>50</v>
      </c>
      <c r="D11" s="59">
        <v>2019</v>
      </c>
      <c r="E11" s="25">
        <v>18</v>
      </c>
      <c r="F11" s="100">
        <v>4</v>
      </c>
      <c r="G11" s="27" t="str">
        <f>Tab_BdD[[#This Row],[Fonction]]&amp;"|"&amp;Tab_BdD[[#This Row],[Salarié]]&amp;"|"&amp;Tab_BdD[[#This Row],[Nom]]&amp;"|"&amp;Tab_BdD[[#This Row],[Année]]&amp;"|"&amp;Tab_BdD[[#This Row],[Semaine]]</f>
        <v>Productif|S|G|2019|18</v>
      </c>
      <c r="H11" s="97">
        <f>Tab_BdD[[#This Row],[Imputation]]*INDEX('Coût horaire'!$I$1:$K$6,MATCH(Tab_BdD[[#This Row],[Salarié]],'Coût horaire'!$I$1:$I$6,0),MATCH(Tab_BdD[[#This Row],[Année]],'Coût horaire'!$I$1:$K$1,0))</f>
        <v>77.391793586954137</v>
      </c>
      <c r="I11" s="96">
        <f>IFERROR(INDEX(Tab_Projet[N°],MATCH(Tab_BdD[[#This Row],[Nom]],Tab_Projet[Nom],0)),"Divers")</f>
        <v>6</v>
      </c>
    </row>
    <row r="12" spans="1:9" x14ac:dyDescent="0.35">
      <c r="A12" s="96" t="s">
        <v>19</v>
      </c>
      <c r="B12" s="63" t="s">
        <v>54</v>
      </c>
      <c r="C12" s="26" t="s">
        <v>100</v>
      </c>
      <c r="D12" s="59">
        <v>2019</v>
      </c>
      <c r="E12" s="25">
        <v>18</v>
      </c>
      <c r="F12" s="100" t="s">
        <v>130</v>
      </c>
      <c r="G12" s="27" t="str">
        <f>Tab_BdD[[#This Row],[Fonction]]&amp;"|"&amp;Tab_BdD[[#This Row],[Salarié]]&amp;"|"&amp;Tab_BdD[[#This Row],[Nom]]&amp;"|"&amp;Tab_BdD[[#This Row],[Année]]&amp;"|"&amp;Tab_BdD[[#This Row],[Semaine]]</f>
        <v>Productif|S|H|2019|18</v>
      </c>
      <c r="H12" s="97" t="e">
        <f>Tab_BdD[[#This Row],[Imputation]]*INDEX('Coût horaire'!$I$1:$K$6,MATCH(Tab_BdD[[#This Row],[Salarié]],'Coût horaire'!$I$1:$I$6,0),MATCH(Tab_BdD[[#This Row],[Année]],'Coût horaire'!$I$1:$K$1,0))</f>
        <v>#VALUE!</v>
      </c>
      <c r="I12" s="96">
        <f>IFERROR(INDEX(Tab_Projet[N°],MATCH(Tab_BdD[[#This Row],[Nom]],Tab_Projet[Nom],0)),"Divers")</f>
        <v>7</v>
      </c>
    </row>
    <row r="13" spans="1:9" ht="26" x14ac:dyDescent="0.35">
      <c r="A13" s="96" t="s">
        <v>20</v>
      </c>
      <c r="B13" s="63" t="s">
        <v>54</v>
      </c>
      <c r="C13" s="99" t="s">
        <v>29</v>
      </c>
      <c r="D13" s="59">
        <v>2019</v>
      </c>
      <c r="E13" s="25">
        <v>18</v>
      </c>
      <c r="F13" s="100">
        <v>2</v>
      </c>
      <c r="G13" s="27" t="str">
        <f>Tab_BdD[[#This Row],[Fonction]]&amp;"|"&amp;Tab_BdD[[#This Row],[Salarié]]&amp;"|"&amp;Tab_BdD[[#This Row],[Nom]]&amp;"|"&amp;Tab_BdD[[#This Row],[Année]]&amp;"|"&amp;Tab_BdD[[#This Row],[Semaine]]</f>
        <v>Prospect et support|S|ENCADREMENT STAGIAIRE|2019|18</v>
      </c>
      <c r="H13" s="97">
        <f>Tab_BdD[[#This Row],[Imputation]]*INDEX('Coût horaire'!$I$1:$K$6,MATCH(Tab_BdD[[#This Row],[Salarié]],'Coût horaire'!$I$1:$I$6,0),MATCH(Tab_BdD[[#This Row],[Année]],'Coût horaire'!$I$1:$K$1,0))</f>
        <v>38.695896793477068</v>
      </c>
      <c r="I13" s="96" t="str">
        <f>IFERROR(INDEX(Tab_Projet[N°],MATCH(Tab_BdD[[#This Row],[Nom]],Tab_Projet[Nom],0)),"Divers")</f>
        <v>Divers</v>
      </c>
    </row>
    <row r="14" spans="1:9" ht="26" x14ac:dyDescent="0.35">
      <c r="A14" s="96" t="s">
        <v>20</v>
      </c>
      <c r="B14" s="63" t="s">
        <v>54</v>
      </c>
      <c r="C14" s="26" t="s">
        <v>33</v>
      </c>
      <c r="D14" s="59">
        <v>2019</v>
      </c>
      <c r="E14" s="25">
        <v>18</v>
      </c>
      <c r="F14" s="100">
        <v>1</v>
      </c>
      <c r="G14" s="27" t="str">
        <f>Tab_BdD[[#This Row],[Fonction]]&amp;"|"&amp;Tab_BdD[[#This Row],[Salarié]]&amp;"|"&amp;Tab_BdD[[#This Row],[Nom]]&amp;"|"&amp;Tab_BdD[[#This Row],[Année]]&amp;"|"&amp;Tab_BdD[[#This Row],[Semaine]]</f>
        <v>Prospect et support|S|RECHERCHE OFFRES|2019|18</v>
      </c>
      <c r="H14" s="97">
        <f>Tab_BdD[[#This Row],[Imputation]]*INDEX('Coût horaire'!$I$1:$K$6,MATCH(Tab_BdD[[#This Row],[Salarié]],'Coût horaire'!$I$1:$I$6,0),MATCH(Tab_BdD[[#This Row],[Année]],'Coût horaire'!$I$1:$K$1,0))</f>
        <v>19.347948396738534</v>
      </c>
      <c r="I14" s="96" t="str">
        <f>IFERROR(INDEX(Tab_Projet[N°],MATCH(Tab_BdD[[#This Row],[Nom]],Tab_Projet[Nom],0)),"Divers")</f>
        <v>Divers</v>
      </c>
    </row>
    <row r="15" spans="1:9" x14ac:dyDescent="0.35">
      <c r="A15" s="96" t="s">
        <v>19</v>
      </c>
      <c r="B15" s="63" t="s">
        <v>54</v>
      </c>
      <c r="C15" s="26" t="s">
        <v>6</v>
      </c>
      <c r="D15" s="59">
        <v>2019</v>
      </c>
      <c r="E15" s="25">
        <v>18</v>
      </c>
      <c r="F15" s="100">
        <v>1</v>
      </c>
      <c r="G15" s="27" t="str">
        <f>Tab_BdD[[#This Row],[Fonction]]&amp;"|"&amp;Tab_BdD[[#This Row],[Salarié]]&amp;"|"&amp;Tab_BdD[[#This Row],[Nom]]&amp;"|"&amp;Tab_BdD[[#This Row],[Année]]&amp;"|"&amp;Tab_BdD[[#This Row],[Semaine]]</f>
        <v>Productif|S|C|2019|18</v>
      </c>
      <c r="H15" s="97">
        <f>Tab_BdD[[#This Row],[Imputation]]*INDEX('Coût horaire'!$I$1:$K$6,MATCH(Tab_BdD[[#This Row],[Salarié]],'Coût horaire'!$I$1:$I$6,0),MATCH(Tab_BdD[[#This Row],[Année]],'Coût horaire'!$I$1:$K$1,0))</f>
        <v>19.347948396738534</v>
      </c>
      <c r="I15" s="96">
        <f>IFERROR(INDEX(Tab_Projet[N°],MATCH(Tab_BdD[[#This Row],[Nom]],Tab_Projet[Nom],0)),"Divers")</f>
        <v>3</v>
      </c>
    </row>
    <row r="16" spans="1:9" x14ac:dyDescent="0.35">
      <c r="A16" s="96" t="s">
        <v>19</v>
      </c>
      <c r="B16" s="63" t="s">
        <v>56</v>
      </c>
      <c r="C16" s="26" t="s">
        <v>7</v>
      </c>
      <c r="D16" s="59">
        <v>2019</v>
      </c>
      <c r="E16" s="25">
        <v>17</v>
      </c>
      <c r="F16" s="100">
        <v>2</v>
      </c>
      <c r="G16" s="27" t="str">
        <f>Tab_BdD[[#This Row],[Fonction]]&amp;"|"&amp;Tab_BdD[[#This Row],[Salarié]]&amp;"|"&amp;Tab_BdD[[#This Row],[Nom]]&amp;"|"&amp;Tab_BdD[[#This Row],[Année]]&amp;"|"&amp;Tab_BdD[[#This Row],[Semaine]]</f>
        <v>Productif|Y|D|2019|17</v>
      </c>
      <c r="H16" s="97">
        <f>Tab_BdD[[#This Row],[Imputation]]*INDEX('Coût horaire'!$I$1:$K$6,MATCH(Tab_BdD[[#This Row],[Salarié]],'Coût horaire'!$I$1:$I$6,0),MATCH(Tab_BdD[[#This Row],[Année]],'Coût horaire'!$I$1:$K$1,0))</f>
        <v>42.674454940986998</v>
      </c>
      <c r="I16" s="96">
        <f>IFERROR(INDEX(Tab_Projet[N°],MATCH(Tab_BdD[[#This Row],[Nom]],Tab_Projet[Nom],0)),"Divers")</f>
        <v>11</v>
      </c>
    </row>
    <row r="17" spans="1:9" x14ac:dyDescent="0.35">
      <c r="A17" s="96" t="s">
        <v>19</v>
      </c>
      <c r="B17" s="63" t="s">
        <v>56</v>
      </c>
      <c r="C17" s="26" t="s">
        <v>101</v>
      </c>
      <c r="D17" s="59">
        <v>2019</v>
      </c>
      <c r="E17" s="25">
        <v>17</v>
      </c>
      <c r="F17" s="100">
        <v>4</v>
      </c>
      <c r="G17" s="27" t="str">
        <f>Tab_BdD[[#This Row],[Fonction]]&amp;"|"&amp;Tab_BdD[[#This Row],[Salarié]]&amp;"|"&amp;Tab_BdD[[#This Row],[Nom]]&amp;"|"&amp;Tab_BdD[[#This Row],[Année]]&amp;"|"&amp;Tab_BdD[[#This Row],[Semaine]]</f>
        <v>Productif|Y|I|2019|17</v>
      </c>
      <c r="H17" s="97">
        <f>Tab_BdD[[#This Row],[Imputation]]*INDEX('Coût horaire'!$I$1:$K$6,MATCH(Tab_BdD[[#This Row],[Salarié]],'Coût horaire'!$I$1:$I$6,0),MATCH(Tab_BdD[[#This Row],[Année]],'Coût horaire'!$I$1:$K$1,0))</f>
        <v>85.348909881973995</v>
      </c>
      <c r="I17" s="96">
        <f>IFERROR(INDEX(Tab_Projet[N°],MATCH(Tab_BdD[[#This Row],[Nom]],Tab_Projet[Nom],0)),"Divers")</f>
        <v>12</v>
      </c>
    </row>
    <row r="18" spans="1:9" x14ac:dyDescent="0.35">
      <c r="A18" s="96" t="s">
        <v>19</v>
      </c>
      <c r="B18" s="63" t="s">
        <v>56</v>
      </c>
      <c r="C18" s="26" t="s">
        <v>5</v>
      </c>
      <c r="D18" s="59">
        <v>2019</v>
      </c>
      <c r="E18" s="25">
        <v>17</v>
      </c>
      <c r="F18" s="100">
        <v>3</v>
      </c>
      <c r="G18" s="27" t="str">
        <f>Tab_BdD[[#This Row],[Fonction]]&amp;"|"&amp;Tab_BdD[[#This Row],[Salarié]]&amp;"|"&amp;Tab_BdD[[#This Row],[Nom]]&amp;"|"&amp;Tab_BdD[[#This Row],[Année]]&amp;"|"&amp;Tab_BdD[[#This Row],[Semaine]]</f>
        <v>Productif|Y|B|2019|17</v>
      </c>
      <c r="H18" s="97">
        <f>Tab_BdD[[#This Row],[Imputation]]*INDEX('Coût horaire'!$I$1:$K$6,MATCH(Tab_BdD[[#This Row],[Salarié]],'Coût horaire'!$I$1:$I$6,0),MATCH(Tab_BdD[[#This Row],[Année]],'Coût horaire'!$I$1:$K$1,0))</f>
        <v>64.011682411480493</v>
      </c>
      <c r="I18" s="96">
        <f>IFERROR(INDEX(Tab_Projet[N°],MATCH(Tab_BdD[[#This Row],[Nom]],Tab_Projet[Nom],0)),"Divers")</f>
        <v>2</v>
      </c>
    </row>
    <row r="19" spans="1:9" ht="26" x14ac:dyDescent="0.35">
      <c r="A19" s="96" t="s">
        <v>20</v>
      </c>
      <c r="B19" s="63" t="s">
        <v>56</v>
      </c>
      <c r="C19" s="26" t="s">
        <v>27</v>
      </c>
      <c r="D19" s="59">
        <v>2019</v>
      </c>
      <c r="E19" s="25">
        <v>18</v>
      </c>
      <c r="F19" s="100">
        <v>2</v>
      </c>
      <c r="G19" s="27" t="str">
        <f>Tab_BdD[[#This Row],[Fonction]]&amp;"|"&amp;Tab_BdD[[#This Row],[Salarié]]&amp;"|"&amp;Tab_BdD[[#This Row],[Nom]]&amp;"|"&amp;Tab_BdD[[#This Row],[Année]]&amp;"|"&amp;Tab_BdD[[#This Row],[Semaine]]</f>
        <v>Prospect et support|Y|REUNIONS SUIVI DES DOSSERS|2019|18</v>
      </c>
      <c r="H19" s="97">
        <f>Tab_BdD[[#This Row],[Imputation]]*INDEX('Coût horaire'!$I$1:$K$6,MATCH(Tab_BdD[[#This Row],[Salarié]],'Coût horaire'!$I$1:$I$6,0),MATCH(Tab_BdD[[#This Row],[Année]],'Coût horaire'!$I$1:$K$1,0))</f>
        <v>42.674454940986998</v>
      </c>
      <c r="I19" s="96" t="str">
        <f>IFERROR(INDEX(Tab_Projet[N°],MATCH(Tab_BdD[[#This Row],[Nom]],Tab_Projet[Nom],0)),"Divers")</f>
        <v>Divers</v>
      </c>
    </row>
    <row r="20" spans="1:9" x14ac:dyDescent="0.35">
      <c r="A20" s="96" t="s">
        <v>19</v>
      </c>
      <c r="B20" s="63" t="s">
        <v>56</v>
      </c>
      <c r="C20" s="26" t="s">
        <v>102</v>
      </c>
      <c r="D20" s="59">
        <v>2019</v>
      </c>
      <c r="E20" s="25">
        <v>18</v>
      </c>
      <c r="F20" s="100">
        <v>3.5</v>
      </c>
      <c r="G20" s="27" t="str">
        <f>Tab_BdD[[#This Row],[Fonction]]&amp;"|"&amp;Tab_BdD[[#This Row],[Salarié]]&amp;"|"&amp;Tab_BdD[[#This Row],[Nom]]&amp;"|"&amp;Tab_BdD[[#This Row],[Année]]&amp;"|"&amp;Tab_BdD[[#This Row],[Semaine]]</f>
        <v>Productif|Y|J|2019|18</v>
      </c>
      <c r="H20" s="97">
        <f>Tab_BdD[[#This Row],[Imputation]]*INDEX('Coût horaire'!$I$1:$K$6,MATCH(Tab_BdD[[#This Row],[Salarié]],'Coût horaire'!$I$1:$I$6,0),MATCH(Tab_BdD[[#This Row],[Année]],'Coût horaire'!$I$1:$K$1,0))</f>
        <v>74.680296146727244</v>
      </c>
      <c r="I20" s="96">
        <f>IFERROR(INDEX(Tab_Projet[N°],MATCH(Tab_BdD[[#This Row],[Nom]],Tab_Projet[Nom],0)),"Divers")</f>
        <v>8</v>
      </c>
    </row>
    <row r="21" spans="1:9" x14ac:dyDescent="0.35">
      <c r="A21" s="96" t="s">
        <v>19</v>
      </c>
      <c r="B21" s="63" t="s">
        <v>50</v>
      </c>
      <c r="C21" s="26" t="s">
        <v>7</v>
      </c>
      <c r="D21" s="59">
        <v>2020</v>
      </c>
      <c r="E21" s="25">
        <v>18</v>
      </c>
      <c r="F21" s="100">
        <v>5</v>
      </c>
      <c r="G21" s="27" t="str">
        <f>Tab_BdD[[#This Row],[Fonction]]&amp;"|"&amp;Tab_BdD[[#This Row],[Salarié]]&amp;"|"&amp;Tab_BdD[[#This Row],[Nom]]&amp;"|"&amp;Tab_BdD[[#This Row],[Année]]&amp;"|"&amp;Tab_BdD[[#This Row],[Semaine]]</f>
        <v>Productif|G|D|2020|18</v>
      </c>
      <c r="H21" s="97">
        <f>Tab_BdD[[#This Row],[Imputation]]*INDEX('Coût horaire'!$I$1:$K$6,MATCH(Tab_BdD[[#This Row],[Salarié]],'Coût horaire'!$I$1:$I$6,0),MATCH(Tab_BdD[[#This Row],[Année]],'Coût horaire'!$I$1:$K$1,0))</f>
        <v>143.68376519197381</v>
      </c>
      <c r="I21" s="96">
        <f>IFERROR(INDEX(Tab_Projet[N°],MATCH(Tab_BdD[[#This Row],[Nom]],Tab_Projet[Nom],0)),"Divers")</f>
        <v>11</v>
      </c>
    </row>
    <row r="22" spans="1:9" x14ac:dyDescent="0.35">
      <c r="A22" s="96" t="s">
        <v>19</v>
      </c>
      <c r="B22" s="63" t="s">
        <v>50</v>
      </c>
      <c r="C22" s="26" t="s">
        <v>98</v>
      </c>
      <c r="D22" s="59">
        <v>2020</v>
      </c>
      <c r="E22" s="25">
        <v>18</v>
      </c>
      <c r="F22" s="100">
        <v>3</v>
      </c>
      <c r="G22" s="27" t="str">
        <f>Tab_BdD[[#This Row],[Fonction]]&amp;"|"&amp;Tab_BdD[[#This Row],[Salarié]]&amp;"|"&amp;Tab_BdD[[#This Row],[Nom]]&amp;"|"&amp;Tab_BdD[[#This Row],[Année]]&amp;"|"&amp;Tab_BdD[[#This Row],[Semaine]]</f>
        <v>Productif|G|F|2020|18</v>
      </c>
      <c r="H22" s="97">
        <f>Tab_BdD[[#This Row],[Imputation]]*INDEX('Coût horaire'!$I$1:$K$6,MATCH(Tab_BdD[[#This Row],[Salarié]],'Coût horaire'!$I$1:$I$6,0),MATCH(Tab_BdD[[#This Row],[Année]],'Coût horaire'!$I$1:$K$1,0))</f>
        <v>86.210259115184272</v>
      </c>
      <c r="I22" s="96">
        <f>IFERROR(INDEX(Tab_Projet[N°],MATCH(Tab_BdD[[#This Row],[Nom]],Tab_Projet[Nom],0)),"Divers")</f>
        <v>5</v>
      </c>
    </row>
    <row r="23" spans="1:9" ht="26" x14ac:dyDescent="0.35">
      <c r="A23" s="96" t="s">
        <v>20</v>
      </c>
      <c r="B23" s="63" t="s">
        <v>50</v>
      </c>
      <c r="C23" s="26" t="s">
        <v>41</v>
      </c>
      <c r="D23" s="59">
        <v>2020</v>
      </c>
      <c r="E23" s="25">
        <v>18</v>
      </c>
      <c r="F23" s="100">
        <v>2</v>
      </c>
      <c r="G23" s="27" t="str">
        <f>Tab_BdD[[#This Row],[Fonction]]&amp;"|"&amp;Tab_BdD[[#This Row],[Salarié]]&amp;"|"&amp;Tab_BdD[[#This Row],[Nom]]&amp;"|"&amp;Tab_BdD[[#This Row],[Année]]&amp;"|"&amp;Tab_BdD[[#This Row],[Semaine]]</f>
        <v>Prospect et support|G|FORMATION INTERNE - DOCUMENTATION|2020|18</v>
      </c>
      <c r="H23" s="97">
        <f>Tab_BdD[[#This Row],[Imputation]]*INDEX('Coût horaire'!$I$1:$K$6,MATCH(Tab_BdD[[#This Row],[Salarié]],'Coût horaire'!$I$1:$I$6,0),MATCH(Tab_BdD[[#This Row],[Année]],'Coût horaire'!$I$1:$K$1,0))</f>
        <v>57.473506076789519</v>
      </c>
      <c r="I23" s="96" t="str">
        <f>IFERROR(INDEX(Tab_Projet[N°],MATCH(Tab_BdD[[#This Row],[Nom]],Tab_Projet[Nom],0)),"Divers")</f>
        <v>Divers</v>
      </c>
    </row>
    <row r="24" spans="1:9" ht="26" x14ac:dyDescent="0.35">
      <c r="A24" s="96" t="s">
        <v>20</v>
      </c>
      <c r="B24" s="63" t="s">
        <v>50</v>
      </c>
      <c r="C24" s="26" t="s">
        <v>32</v>
      </c>
      <c r="D24" s="59">
        <v>2020</v>
      </c>
      <c r="E24" s="25">
        <v>18</v>
      </c>
      <c r="F24" s="100">
        <v>3</v>
      </c>
      <c r="G24" s="27" t="str">
        <f>Tab_BdD[[#This Row],[Fonction]]&amp;"|"&amp;Tab_BdD[[#This Row],[Salarié]]&amp;"|"&amp;Tab_BdD[[#This Row],[Nom]]&amp;"|"&amp;Tab_BdD[[#This Row],[Année]]&amp;"|"&amp;Tab_BdD[[#This Row],[Semaine]]</f>
        <v>Prospect et support|G|CANIDATURES|2020|18</v>
      </c>
      <c r="H24" s="97">
        <f>Tab_BdD[[#This Row],[Imputation]]*INDEX('Coût horaire'!$I$1:$K$6,MATCH(Tab_BdD[[#This Row],[Salarié]],'Coût horaire'!$I$1:$I$6,0),MATCH(Tab_BdD[[#This Row],[Année]],'Coût horaire'!$I$1:$K$1,0))</f>
        <v>86.210259115184272</v>
      </c>
      <c r="I24" s="96" t="str">
        <f>IFERROR(INDEX(Tab_Projet[N°],MATCH(Tab_BdD[[#This Row],[Nom]],Tab_Projet[Nom],0)),"Divers")</f>
        <v>Divers</v>
      </c>
    </row>
    <row r="25" spans="1:9" ht="26" x14ac:dyDescent="0.35">
      <c r="A25" s="96" t="s">
        <v>20</v>
      </c>
      <c r="B25" s="63" t="s">
        <v>50</v>
      </c>
      <c r="C25" s="26" t="s">
        <v>34</v>
      </c>
      <c r="D25" s="59">
        <v>2020</v>
      </c>
      <c r="E25" s="25">
        <v>18</v>
      </c>
      <c r="F25" s="100">
        <v>1</v>
      </c>
      <c r="G25" s="27" t="str">
        <f>Tab_BdD[[#This Row],[Fonction]]&amp;"|"&amp;Tab_BdD[[#This Row],[Salarié]]&amp;"|"&amp;Tab_BdD[[#This Row],[Nom]]&amp;"|"&amp;Tab_BdD[[#This Row],[Année]]&amp;"|"&amp;Tab_BdD[[#This Row],[Semaine]]</f>
        <v>Prospect et support|G|REPONSE OFFRE|2020|18</v>
      </c>
      <c r="H25" s="97">
        <f>Tab_BdD[[#This Row],[Imputation]]*INDEX('Coût horaire'!$I$1:$K$6,MATCH(Tab_BdD[[#This Row],[Salarié]],'Coût horaire'!$I$1:$I$6,0),MATCH(Tab_BdD[[#This Row],[Année]],'Coût horaire'!$I$1:$K$1,0))</f>
        <v>28.73675303839476</v>
      </c>
      <c r="I25" s="96" t="str">
        <f>IFERROR(INDEX(Tab_Projet[N°],MATCH(Tab_BdD[[#This Row],[Nom]],Tab_Projet[Nom],0)),"Divers")</f>
        <v>Divers</v>
      </c>
    </row>
    <row r="26" spans="1:9" x14ac:dyDescent="0.35">
      <c r="A26" s="96" t="s">
        <v>19</v>
      </c>
      <c r="B26" s="63" t="s">
        <v>52</v>
      </c>
      <c r="C26" s="26" t="s">
        <v>99</v>
      </c>
      <c r="D26" s="59">
        <v>2020</v>
      </c>
      <c r="E26" s="25">
        <v>18</v>
      </c>
      <c r="F26" s="100">
        <v>3</v>
      </c>
      <c r="G26" s="27" t="str">
        <f>Tab_BdD[[#This Row],[Fonction]]&amp;"|"&amp;Tab_BdD[[#This Row],[Salarié]]&amp;"|"&amp;Tab_BdD[[#This Row],[Nom]]&amp;"|"&amp;Tab_BdD[[#This Row],[Année]]&amp;"|"&amp;Tab_BdD[[#This Row],[Semaine]]</f>
        <v>Productif|O|E|2020|18</v>
      </c>
      <c r="H26" s="97">
        <f>Tab_BdD[[#This Row],[Imputation]]*INDEX('Coût horaire'!$I$1:$K$6,MATCH(Tab_BdD[[#This Row],[Salarié]],'Coût horaire'!$I$1:$I$6,0),MATCH(Tab_BdD[[#This Row],[Année]],'Coût horaire'!$I$1:$K$1,0))</f>
        <v>124.34894991922452</v>
      </c>
      <c r="I26" s="96">
        <f>IFERROR(INDEX(Tab_Projet[N°],MATCH(Tab_BdD[[#This Row],[Nom]],Tab_Projet[Nom],0)),"Divers")</f>
        <v>4</v>
      </c>
    </row>
    <row r="27" spans="1:9" x14ac:dyDescent="0.35">
      <c r="A27" s="96" t="s">
        <v>19</v>
      </c>
      <c r="B27" s="63" t="s">
        <v>54</v>
      </c>
      <c r="C27" s="26" t="s">
        <v>7</v>
      </c>
      <c r="D27" s="59">
        <v>2020</v>
      </c>
      <c r="E27" s="25">
        <v>18</v>
      </c>
      <c r="F27" s="100">
        <v>4</v>
      </c>
      <c r="G27" s="27" t="str">
        <f>Tab_BdD[[#This Row],[Fonction]]&amp;"|"&amp;Tab_BdD[[#This Row],[Salarié]]&amp;"|"&amp;Tab_BdD[[#This Row],[Nom]]&amp;"|"&amp;Tab_BdD[[#This Row],[Année]]&amp;"|"&amp;Tab_BdD[[#This Row],[Semaine]]</f>
        <v>Productif|S|D|2020|18</v>
      </c>
      <c r="H27" s="97">
        <f>Tab_BdD[[#This Row],[Imputation]]*INDEX('Coût horaire'!$I$1:$K$6,MATCH(Tab_BdD[[#This Row],[Salarié]],'Coût horaire'!$I$1:$I$6,0),MATCH(Tab_BdD[[#This Row],[Année]],'Coût horaire'!$I$1:$K$1,0))</f>
        <v>81.391793586954137</v>
      </c>
      <c r="I27" s="96">
        <f>IFERROR(INDEX(Tab_Projet[N°],MATCH(Tab_BdD[[#This Row],[Nom]],Tab_Projet[Nom],0)),"Divers")</f>
        <v>11</v>
      </c>
    </row>
    <row r="28" spans="1:9" x14ac:dyDescent="0.35">
      <c r="A28" s="96" t="s">
        <v>19</v>
      </c>
      <c r="B28" s="63" t="s">
        <v>54</v>
      </c>
      <c r="C28" s="26" t="s">
        <v>103</v>
      </c>
      <c r="D28" s="59">
        <v>2020</v>
      </c>
      <c r="E28" s="25">
        <v>18</v>
      </c>
      <c r="F28" s="100">
        <v>3</v>
      </c>
      <c r="G28" s="27" t="str">
        <f>Tab_BdD[[#This Row],[Fonction]]&amp;"|"&amp;Tab_BdD[[#This Row],[Salarié]]&amp;"|"&amp;Tab_BdD[[#This Row],[Nom]]&amp;"|"&amp;Tab_BdD[[#This Row],[Année]]&amp;"|"&amp;Tab_BdD[[#This Row],[Semaine]]</f>
        <v>Productif|S|K|2020|18</v>
      </c>
      <c r="H28" s="97">
        <f>Tab_BdD[[#This Row],[Imputation]]*INDEX('Coût horaire'!$I$1:$K$6,MATCH(Tab_BdD[[#This Row],[Salarié]],'Coût horaire'!$I$1:$I$6,0),MATCH(Tab_BdD[[#This Row],[Année]],'Coût horaire'!$I$1:$K$1,0))</f>
        <v>61.043845190215606</v>
      </c>
      <c r="I28" s="96">
        <f>IFERROR(INDEX(Tab_Projet[N°],MATCH(Tab_BdD[[#This Row],[Nom]],Tab_Projet[Nom],0)),"Divers")</f>
        <v>9</v>
      </c>
    </row>
    <row r="29" spans="1:9" x14ac:dyDescent="0.35">
      <c r="A29" s="96" t="s">
        <v>19</v>
      </c>
      <c r="B29" s="63" t="s">
        <v>54</v>
      </c>
      <c r="C29" s="26" t="s">
        <v>104</v>
      </c>
      <c r="D29" s="59">
        <v>2020</v>
      </c>
      <c r="E29" s="25">
        <v>18</v>
      </c>
      <c r="F29" s="100">
        <v>1</v>
      </c>
      <c r="G29" s="27" t="str">
        <f>Tab_BdD[[#This Row],[Fonction]]&amp;"|"&amp;Tab_BdD[[#This Row],[Salarié]]&amp;"|"&amp;Tab_BdD[[#This Row],[Nom]]&amp;"|"&amp;Tab_BdD[[#This Row],[Année]]&amp;"|"&amp;Tab_BdD[[#This Row],[Semaine]]</f>
        <v>Productif|S|L|2020|18</v>
      </c>
      <c r="H29" s="97">
        <f>Tab_BdD[[#This Row],[Imputation]]*INDEX('Coût horaire'!$I$1:$K$6,MATCH(Tab_BdD[[#This Row],[Salarié]],'Coût horaire'!$I$1:$I$6,0),MATCH(Tab_BdD[[#This Row],[Année]],'Coût horaire'!$I$1:$K$1,0))</f>
        <v>20.347948396738534</v>
      </c>
      <c r="I29" s="96">
        <f>IFERROR(INDEX(Tab_Projet[N°],MATCH(Tab_BdD[[#This Row],[Nom]],Tab_Projet[Nom],0)),"Divers")</f>
        <v>10</v>
      </c>
    </row>
    <row r="30" spans="1:9" ht="26" x14ac:dyDescent="0.35">
      <c r="A30" s="96" t="s">
        <v>20</v>
      </c>
      <c r="B30" s="63" t="s">
        <v>54</v>
      </c>
      <c r="C30" s="26" t="s">
        <v>39</v>
      </c>
      <c r="D30" s="59">
        <v>2020</v>
      </c>
      <c r="E30" s="25">
        <v>18</v>
      </c>
      <c r="F30" s="100">
        <v>2</v>
      </c>
      <c r="G30" s="27" t="str">
        <f>Tab_BdD[[#This Row],[Fonction]]&amp;"|"&amp;Tab_BdD[[#This Row],[Salarié]]&amp;"|"&amp;Tab_BdD[[#This Row],[Nom]]&amp;"|"&amp;Tab_BdD[[#This Row],[Année]]&amp;"|"&amp;Tab_BdD[[#This Row],[Semaine]]</f>
        <v>Prospect et support|S|COMMISSION BDM|2020|18</v>
      </c>
      <c r="H30" s="97">
        <f>Tab_BdD[[#This Row],[Imputation]]*INDEX('Coût horaire'!$I$1:$K$6,MATCH(Tab_BdD[[#This Row],[Salarié]],'Coût horaire'!$I$1:$I$6,0),MATCH(Tab_BdD[[#This Row],[Année]],'Coût horaire'!$I$1:$K$1,0))</f>
        <v>40.695896793477068</v>
      </c>
      <c r="I30" s="96" t="str">
        <f>IFERROR(INDEX(Tab_Projet[N°],MATCH(Tab_BdD[[#This Row],[Nom]],Tab_Projet[Nom],0)),"Divers")</f>
        <v>Divers</v>
      </c>
    </row>
  </sheetData>
  <conditionalFormatting sqref="H1:H30">
    <cfRule type="cellIs" dxfId="8" priority="2" operator="equal">
      <formula>0</formula>
    </cfRule>
    <cfRule type="containsErrors" dxfId="7" priority="3">
      <formula>ISERROR(H1)</formula>
    </cfRule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6"/>
  <sheetViews>
    <sheetView workbookViewId="0">
      <selection activeCell="E18" sqref="E18"/>
    </sheetView>
  </sheetViews>
  <sheetFormatPr baseColWidth="10" defaultRowHeight="14.5" x14ac:dyDescent="0.35"/>
  <cols>
    <col min="1" max="1" width="21" customWidth="1"/>
    <col min="2" max="2" width="21.26953125" customWidth="1"/>
    <col min="3" max="3" width="28" bestFit="1" customWidth="1"/>
    <col min="4" max="4" width="21.26953125" bestFit="1" customWidth="1"/>
    <col min="5" max="5" width="27.453125" bestFit="1" customWidth="1"/>
    <col min="6" max="6" width="21.26953125" bestFit="1" customWidth="1"/>
    <col min="7" max="7" width="27.453125" bestFit="1" customWidth="1"/>
    <col min="8" max="8" width="21.26953125" bestFit="1" customWidth="1"/>
    <col min="9" max="9" width="27.453125" bestFit="1" customWidth="1"/>
    <col min="10" max="10" width="26.1796875" bestFit="1" customWidth="1"/>
    <col min="11" max="11" width="32.453125" bestFit="1" customWidth="1"/>
  </cols>
  <sheetData>
    <row r="1" spans="1:3" x14ac:dyDescent="0.35">
      <c r="A1" s="3" t="s">
        <v>47</v>
      </c>
      <c r="B1" t="s" vm="1">
        <v>19</v>
      </c>
    </row>
    <row r="3" spans="1:3" x14ac:dyDescent="0.35">
      <c r="A3" s="3" t="s">
        <v>18</v>
      </c>
      <c r="B3" t="s">
        <v>91</v>
      </c>
      <c r="C3" t="s">
        <v>129</v>
      </c>
    </row>
    <row r="4" spans="1:3" x14ac:dyDescent="0.35">
      <c r="A4" s="5" t="s">
        <v>4</v>
      </c>
      <c r="B4" s="4">
        <v>80.900000000000006</v>
      </c>
      <c r="C4" s="4">
        <v>11</v>
      </c>
    </row>
    <row r="5" spans="1:3" x14ac:dyDescent="0.35">
      <c r="A5" s="5" t="s">
        <v>5</v>
      </c>
      <c r="B5" s="4">
        <v>64.010000000000005</v>
      </c>
      <c r="C5" s="4">
        <v>11</v>
      </c>
    </row>
    <row r="6" spans="1:3" x14ac:dyDescent="0.35">
      <c r="A6" s="5" t="s">
        <v>6</v>
      </c>
      <c r="B6" s="4">
        <v>140.69999999999999</v>
      </c>
      <c r="C6" s="4">
        <v>11</v>
      </c>
    </row>
    <row r="7" spans="1:3" x14ac:dyDescent="0.35">
      <c r="A7" s="5" t="s">
        <v>7</v>
      </c>
      <c r="B7" s="4">
        <v>323.20999999999998</v>
      </c>
      <c r="C7" s="4">
        <v>11</v>
      </c>
    </row>
    <row r="8" spans="1:3" x14ac:dyDescent="0.35">
      <c r="A8" s="5" t="s">
        <v>99</v>
      </c>
      <c r="B8" s="4">
        <v>207.56</v>
      </c>
      <c r="C8" s="4">
        <v>11</v>
      </c>
    </row>
    <row r="9" spans="1:3" x14ac:dyDescent="0.35">
      <c r="A9" s="5" t="s">
        <v>98</v>
      </c>
      <c r="B9" s="4">
        <v>224.89</v>
      </c>
      <c r="C9" s="4">
        <v>11</v>
      </c>
    </row>
    <row r="10" spans="1:3" x14ac:dyDescent="0.35">
      <c r="A10" s="5" t="s">
        <v>50</v>
      </c>
      <c r="B10" s="4">
        <v>77.39</v>
      </c>
      <c r="C10" s="4">
        <v>11</v>
      </c>
    </row>
    <row r="11" spans="1:3" x14ac:dyDescent="0.35">
      <c r="A11" s="5" t="s">
        <v>100</v>
      </c>
      <c r="B11" s="4">
        <v>67.72</v>
      </c>
      <c r="C11" s="4">
        <v>11</v>
      </c>
    </row>
    <row r="12" spans="1:3" x14ac:dyDescent="0.35">
      <c r="A12" s="5" t="s">
        <v>101</v>
      </c>
      <c r="B12" s="4">
        <v>85.35</v>
      </c>
      <c r="C12" s="4">
        <v>11</v>
      </c>
    </row>
    <row r="13" spans="1:3" x14ac:dyDescent="0.35">
      <c r="A13" s="5" t="s">
        <v>102</v>
      </c>
      <c r="B13" s="4">
        <v>74.680000000000007</v>
      </c>
      <c r="C13" s="4">
        <v>11</v>
      </c>
    </row>
    <row r="14" spans="1:3" x14ac:dyDescent="0.35">
      <c r="A14" s="5" t="s">
        <v>103</v>
      </c>
      <c r="B14" s="4">
        <v>61.04</v>
      </c>
      <c r="C14" s="4">
        <v>11</v>
      </c>
    </row>
    <row r="15" spans="1:3" x14ac:dyDescent="0.35">
      <c r="A15" s="5" t="s">
        <v>104</v>
      </c>
      <c r="B15" s="4">
        <v>20.350000000000001</v>
      </c>
      <c r="C15" s="4">
        <v>11</v>
      </c>
    </row>
    <row r="16" spans="1:3" x14ac:dyDescent="0.35">
      <c r="A16" s="5" t="s">
        <v>17</v>
      </c>
      <c r="B16" s="4">
        <v>1427.8</v>
      </c>
      <c r="C16" s="4">
        <v>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3:F26"/>
  <sheetViews>
    <sheetView workbookViewId="0">
      <selection activeCell="F7" sqref="F7"/>
    </sheetView>
  </sheetViews>
  <sheetFormatPr baseColWidth="10" defaultRowHeight="14.5" x14ac:dyDescent="0.35"/>
  <cols>
    <col min="1" max="1" width="40.7265625" customWidth="1"/>
    <col min="2" max="2" width="23.81640625" style="65" bestFit="1" customWidth="1"/>
    <col min="3" max="5" width="9.453125" style="65" bestFit="1" customWidth="1"/>
    <col min="6" max="6" width="14" bestFit="1" customWidth="1"/>
    <col min="7" max="7" width="21.26953125" customWidth="1"/>
    <col min="8" max="8" width="25.81640625" bestFit="1" customWidth="1"/>
    <col min="9" max="9" width="26.1796875" customWidth="1"/>
    <col min="10" max="11" width="7" customWidth="1"/>
    <col min="12" max="12" width="2.1796875" customWidth="1"/>
    <col min="13" max="13" width="19.26953125" bestFit="1" customWidth="1"/>
    <col min="14" max="14" width="12.54296875" bestFit="1" customWidth="1"/>
  </cols>
  <sheetData>
    <row r="3" spans="1:6" x14ac:dyDescent="0.35">
      <c r="A3" s="3" t="s">
        <v>123</v>
      </c>
      <c r="B3" s="3" t="s">
        <v>16</v>
      </c>
      <c r="C3"/>
      <c r="D3"/>
      <c r="E3"/>
    </row>
    <row r="4" spans="1:6" x14ac:dyDescent="0.35">
      <c r="A4" s="106" t="s">
        <v>18</v>
      </c>
      <c r="B4" s="107" t="s">
        <v>50</v>
      </c>
      <c r="C4" s="107" t="s">
        <v>52</v>
      </c>
      <c r="D4" s="107" t="s">
        <v>54</v>
      </c>
      <c r="E4" s="107" t="s">
        <v>56</v>
      </c>
      <c r="F4" s="107" t="s">
        <v>17</v>
      </c>
    </row>
    <row r="5" spans="1:6" x14ac:dyDescent="0.35">
      <c r="A5" s="105" t="s">
        <v>4</v>
      </c>
      <c r="B5" s="84"/>
      <c r="C5" s="84">
        <v>80.900000000000006</v>
      </c>
      <c r="D5" s="84"/>
      <c r="E5" s="84"/>
      <c r="F5" s="84">
        <v>80.900000000000006</v>
      </c>
    </row>
    <row r="6" spans="1:6" x14ac:dyDescent="0.35">
      <c r="A6" s="105" t="s">
        <v>5</v>
      </c>
      <c r="B6" s="84"/>
      <c r="C6" s="84"/>
      <c r="D6" s="84"/>
      <c r="E6" s="84">
        <v>64.010000000000005</v>
      </c>
      <c r="F6" s="84">
        <v>64.010000000000005</v>
      </c>
    </row>
    <row r="7" spans="1:6" x14ac:dyDescent="0.35">
      <c r="A7" s="105" t="s">
        <v>6</v>
      </c>
      <c r="B7" s="84"/>
      <c r="C7" s="84">
        <v>121.35</v>
      </c>
      <c r="D7" s="84">
        <v>19.350000000000001</v>
      </c>
      <c r="E7" s="84"/>
      <c r="F7" s="84">
        <v>140.69999999999999</v>
      </c>
    </row>
    <row r="8" spans="1:6" x14ac:dyDescent="0.35">
      <c r="A8" s="105" t="s">
        <v>7</v>
      </c>
      <c r="B8" s="84">
        <v>199.15</v>
      </c>
      <c r="C8" s="84">
        <v>0</v>
      </c>
      <c r="D8" s="84">
        <v>81.39</v>
      </c>
      <c r="E8" s="84">
        <v>42.67</v>
      </c>
      <c r="F8" s="84">
        <v>323.21000000000004</v>
      </c>
    </row>
    <row r="9" spans="1:6" x14ac:dyDescent="0.35">
      <c r="A9" s="105" t="s">
        <v>41</v>
      </c>
      <c r="B9" s="84">
        <v>57.47</v>
      </c>
      <c r="C9" s="84"/>
      <c r="D9" s="84"/>
      <c r="E9" s="84"/>
      <c r="F9" s="84">
        <v>57.47</v>
      </c>
    </row>
    <row r="10" spans="1:6" x14ac:dyDescent="0.35">
      <c r="A10" s="105" t="s">
        <v>29</v>
      </c>
      <c r="B10" s="84"/>
      <c r="C10" s="84">
        <v>40.450000000000003</v>
      </c>
      <c r="D10" s="84">
        <v>38.700000000000003</v>
      </c>
      <c r="E10" s="84"/>
      <c r="F10" s="84">
        <v>79.150000000000006</v>
      </c>
    </row>
    <row r="11" spans="1:6" x14ac:dyDescent="0.35">
      <c r="A11" s="105" t="s">
        <v>26</v>
      </c>
      <c r="B11" s="84">
        <v>55.47</v>
      </c>
      <c r="C11" s="84"/>
      <c r="D11" s="84"/>
      <c r="E11" s="84"/>
      <c r="F11" s="84">
        <v>55.47</v>
      </c>
    </row>
    <row r="12" spans="1:6" x14ac:dyDescent="0.35">
      <c r="A12" s="105" t="s">
        <v>38</v>
      </c>
      <c r="B12" s="84">
        <v>55.47</v>
      </c>
      <c r="C12" s="84"/>
      <c r="D12" s="84"/>
      <c r="E12" s="84"/>
      <c r="F12" s="84">
        <v>55.47</v>
      </c>
    </row>
    <row r="13" spans="1:6" x14ac:dyDescent="0.35">
      <c r="A13" s="105" t="s">
        <v>33</v>
      </c>
      <c r="B13" s="84"/>
      <c r="C13" s="84"/>
      <c r="D13" s="84">
        <v>19.350000000000001</v>
      </c>
      <c r="E13" s="84"/>
      <c r="F13" s="84">
        <v>19.350000000000001</v>
      </c>
    </row>
    <row r="14" spans="1:6" x14ac:dyDescent="0.35">
      <c r="A14" s="105" t="s">
        <v>27</v>
      </c>
      <c r="B14" s="84"/>
      <c r="C14" s="84"/>
      <c r="D14" s="84"/>
      <c r="E14" s="84">
        <v>42.67</v>
      </c>
      <c r="F14" s="84">
        <v>42.67</v>
      </c>
    </row>
    <row r="15" spans="1:6" x14ac:dyDescent="0.35">
      <c r="A15" s="105" t="s">
        <v>32</v>
      </c>
      <c r="B15" s="84">
        <v>86.21</v>
      </c>
      <c r="C15" s="84"/>
      <c r="D15" s="84"/>
      <c r="E15" s="84"/>
      <c r="F15" s="84">
        <v>86.21</v>
      </c>
    </row>
    <row r="16" spans="1:6" x14ac:dyDescent="0.35">
      <c r="A16" s="105" t="s">
        <v>34</v>
      </c>
      <c r="B16" s="84">
        <v>28.74</v>
      </c>
      <c r="C16" s="84"/>
      <c r="D16" s="84"/>
      <c r="E16" s="84"/>
      <c r="F16" s="84">
        <v>28.74</v>
      </c>
    </row>
    <row r="17" spans="1:6" x14ac:dyDescent="0.35">
      <c r="A17" s="105" t="s">
        <v>39</v>
      </c>
      <c r="B17" s="84"/>
      <c r="C17" s="84"/>
      <c r="D17" s="84">
        <v>40.700000000000003</v>
      </c>
      <c r="E17" s="84"/>
      <c r="F17" s="84">
        <v>40.700000000000003</v>
      </c>
    </row>
    <row r="18" spans="1:6" x14ac:dyDescent="0.35">
      <c r="A18" s="105" t="s">
        <v>99</v>
      </c>
      <c r="B18" s="84">
        <v>83.21</v>
      </c>
      <c r="C18" s="84">
        <v>124.35</v>
      </c>
      <c r="D18" s="84"/>
      <c r="E18" s="84"/>
      <c r="F18" s="84">
        <v>207.56</v>
      </c>
    </row>
    <row r="19" spans="1:6" x14ac:dyDescent="0.35">
      <c r="A19" s="105" t="s">
        <v>98</v>
      </c>
      <c r="B19" s="84">
        <v>224.89</v>
      </c>
      <c r="C19" s="84"/>
      <c r="D19" s="84"/>
      <c r="E19" s="84"/>
      <c r="F19" s="84">
        <v>224.89</v>
      </c>
    </row>
    <row r="20" spans="1:6" x14ac:dyDescent="0.35">
      <c r="A20" s="105" t="s">
        <v>50</v>
      </c>
      <c r="B20" s="84"/>
      <c r="C20" s="84"/>
      <c r="D20" s="84">
        <v>77.39</v>
      </c>
      <c r="E20" s="84"/>
      <c r="F20" s="84">
        <v>77.39</v>
      </c>
    </row>
    <row r="21" spans="1:6" x14ac:dyDescent="0.35">
      <c r="A21" s="105" t="s">
        <v>100</v>
      </c>
      <c r="B21" s="84"/>
      <c r="C21" s="84"/>
      <c r="D21" s="84">
        <v>67.72</v>
      </c>
      <c r="E21" s="84"/>
      <c r="F21" s="84">
        <v>67.72</v>
      </c>
    </row>
    <row r="22" spans="1:6" x14ac:dyDescent="0.35">
      <c r="A22" s="105" t="s">
        <v>101</v>
      </c>
      <c r="B22" s="84"/>
      <c r="C22" s="84"/>
      <c r="D22" s="84"/>
      <c r="E22" s="84">
        <v>85.35</v>
      </c>
      <c r="F22" s="84">
        <v>85.35</v>
      </c>
    </row>
    <row r="23" spans="1:6" x14ac:dyDescent="0.35">
      <c r="A23" s="105" t="s">
        <v>102</v>
      </c>
      <c r="B23" s="84"/>
      <c r="C23" s="84"/>
      <c r="D23" s="84"/>
      <c r="E23" s="84">
        <v>74.680000000000007</v>
      </c>
      <c r="F23" s="84">
        <v>74.680000000000007</v>
      </c>
    </row>
    <row r="24" spans="1:6" x14ac:dyDescent="0.35">
      <c r="A24" s="105" t="s">
        <v>103</v>
      </c>
      <c r="B24" s="84"/>
      <c r="C24" s="84"/>
      <c r="D24" s="84">
        <v>61.04</v>
      </c>
      <c r="E24" s="84"/>
      <c r="F24" s="84">
        <v>61.04</v>
      </c>
    </row>
    <row r="25" spans="1:6" x14ac:dyDescent="0.35">
      <c r="A25" s="105" t="s">
        <v>104</v>
      </c>
      <c r="B25" s="84"/>
      <c r="C25" s="84"/>
      <c r="D25" s="84">
        <v>20.350000000000001</v>
      </c>
      <c r="E25" s="84"/>
      <c r="F25" s="84">
        <v>20.350000000000001</v>
      </c>
    </row>
    <row r="26" spans="1:6" x14ac:dyDescent="0.35">
      <c r="A26" s="108" t="s">
        <v>17</v>
      </c>
      <c r="B26" s="109">
        <v>790.61</v>
      </c>
      <c r="C26" s="109">
        <v>367.04999999999995</v>
      </c>
      <c r="D26" s="109">
        <v>425.99000000000007</v>
      </c>
      <c r="E26" s="109">
        <v>309.38</v>
      </c>
      <c r="F26" s="109">
        <v>1893.03</v>
      </c>
    </row>
  </sheetData>
  <conditionalFormatting sqref="A5:A23">
    <cfRule type="containsErrors" dxfId="6" priority="1">
      <formula>ISERROR(A5)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28"/>
  <sheetViews>
    <sheetView topLeftCell="A11" workbookViewId="0">
      <selection activeCell="C25" sqref="C25"/>
    </sheetView>
  </sheetViews>
  <sheetFormatPr baseColWidth="10" defaultRowHeight="14.5" x14ac:dyDescent="0.35"/>
  <cols>
    <col min="2" max="3" width="30.7265625" customWidth="1"/>
    <col min="4" max="5" width="25.7265625" customWidth="1"/>
    <col min="6" max="6" width="15.7265625" customWidth="1"/>
    <col min="7" max="7" width="22.1796875" customWidth="1"/>
    <col min="8" max="8" width="24.26953125" customWidth="1"/>
    <col min="13" max="13" width="11.453125" style="14"/>
    <col min="14" max="14" width="15.7265625" style="111" customWidth="1"/>
  </cols>
  <sheetData>
    <row r="1" spans="1:14" ht="20.149999999999999" customHeight="1" x14ac:dyDescent="0.35">
      <c r="B1" s="113" t="s">
        <v>58</v>
      </c>
      <c r="C1" s="113"/>
    </row>
    <row r="2" spans="1:14" ht="30" customHeight="1" x14ac:dyDescent="0.35">
      <c r="B2" s="1" t="s">
        <v>48</v>
      </c>
      <c r="C2" s="1"/>
    </row>
    <row r="3" spans="1:14" ht="30" customHeight="1" x14ac:dyDescent="0.35">
      <c r="B3" s="1" t="s">
        <v>22</v>
      </c>
      <c r="C3" s="1"/>
    </row>
    <row r="4" spans="1:14" ht="30" customHeight="1" x14ac:dyDescent="0.35">
      <c r="B4" s="1" t="s">
        <v>59</v>
      </c>
      <c r="C4" s="1"/>
    </row>
    <row r="5" spans="1:14" ht="30" customHeight="1" x14ac:dyDescent="0.35">
      <c r="B5" s="1" t="s">
        <v>60</v>
      </c>
      <c r="C5" s="1"/>
    </row>
    <row r="6" spans="1:14" ht="30" customHeight="1" x14ac:dyDescent="0.35">
      <c r="B6" s="1" t="s">
        <v>61</v>
      </c>
      <c r="C6" s="1"/>
    </row>
    <row r="7" spans="1:14" ht="30" customHeight="1" x14ac:dyDescent="0.35">
      <c r="B7" s="1" t="s">
        <v>62</v>
      </c>
      <c r="C7" s="1"/>
    </row>
    <row r="8" spans="1:14" ht="30" customHeight="1" x14ac:dyDescent="0.35">
      <c r="B8" s="1" t="s">
        <v>63</v>
      </c>
      <c r="C8" s="1"/>
    </row>
    <row r="9" spans="1:14" ht="20.149999999999999" customHeight="1" x14ac:dyDescent="0.35">
      <c r="B9" s="113" t="s">
        <v>64</v>
      </c>
      <c r="C9" s="113"/>
    </row>
    <row r="10" spans="1:14" ht="30" customHeight="1" x14ac:dyDescent="0.35">
      <c r="B10" s="16" t="s">
        <v>4</v>
      </c>
      <c r="C10" s="1"/>
    </row>
    <row r="11" spans="1:14" ht="30" customHeight="1" x14ac:dyDescent="0.35">
      <c r="B11" s="16" t="s">
        <v>50</v>
      </c>
      <c r="C11" s="1"/>
    </row>
    <row r="12" spans="1:14" ht="30" customHeight="1" x14ac:dyDescent="0.35">
      <c r="B12" s="16" t="s">
        <v>52</v>
      </c>
      <c r="C12" s="1"/>
    </row>
    <row r="13" spans="1:14" ht="30" customHeight="1" x14ac:dyDescent="0.35">
      <c r="B13" s="16" t="s">
        <v>54</v>
      </c>
      <c r="C13" s="1"/>
    </row>
    <row r="14" spans="1:14" ht="30" customHeight="1" x14ac:dyDescent="0.35"/>
    <row r="15" spans="1:14" ht="30" customHeight="1" x14ac:dyDescent="0.35">
      <c r="A15" s="17"/>
      <c r="B15" s="18"/>
      <c r="C15" s="18"/>
      <c r="D15" s="18"/>
      <c r="E15" s="18"/>
      <c r="F15" s="18"/>
      <c r="G15" s="18"/>
      <c r="H15" s="18"/>
      <c r="I15" s="114" t="s">
        <v>64</v>
      </c>
      <c r="J15" s="114"/>
      <c r="K15" s="114"/>
      <c r="L15" s="114"/>
    </row>
    <row r="16" spans="1:14" ht="30" customHeight="1" x14ac:dyDescent="0.35">
      <c r="A16" s="35" t="s">
        <v>65</v>
      </c>
      <c r="B16" s="36" t="s">
        <v>48</v>
      </c>
      <c r="C16" s="36" t="s">
        <v>22</v>
      </c>
      <c r="D16" s="36" t="s">
        <v>59</v>
      </c>
      <c r="E16" s="36" t="s">
        <v>60</v>
      </c>
      <c r="F16" s="36" t="s">
        <v>61</v>
      </c>
      <c r="G16" s="36" t="s">
        <v>62</v>
      </c>
      <c r="H16" s="36" t="s">
        <v>63</v>
      </c>
      <c r="I16" s="36" t="s">
        <v>4</v>
      </c>
      <c r="J16" s="36" t="s">
        <v>50</v>
      </c>
      <c r="K16" s="36" t="s">
        <v>52</v>
      </c>
      <c r="L16" s="37" t="s">
        <v>54</v>
      </c>
      <c r="M16" s="37" t="s">
        <v>67</v>
      </c>
      <c r="N16" s="95" t="s">
        <v>128</v>
      </c>
    </row>
    <row r="17" spans="1:14" ht="30" customHeight="1" x14ac:dyDescent="0.35">
      <c r="A17" s="35">
        <f t="shared" ref="A17:A27" si="0">A18+1</f>
        <v>12</v>
      </c>
      <c r="B17" s="1" t="s">
        <v>53</v>
      </c>
      <c r="C17" s="1" t="s">
        <v>101</v>
      </c>
      <c r="D17" s="1"/>
      <c r="E17" s="1"/>
      <c r="F17" s="1"/>
      <c r="G17" s="1"/>
      <c r="H17" s="1"/>
      <c r="I17" s="1"/>
      <c r="J17" s="1"/>
      <c r="K17" s="1"/>
      <c r="L17" s="1"/>
      <c r="M17" s="37" t="s">
        <v>68</v>
      </c>
      <c r="N17" s="95">
        <f>SUMIF('[1]Suivi 2018'!$E:$E,A17,'[1]Suivi 2018'!$J:$J)</f>
        <v>1125</v>
      </c>
    </row>
    <row r="18" spans="1:14" ht="30" customHeight="1" x14ac:dyDescent="0.35">
      <c r="A18" s="35">
        <f t="shared" si="0"/>
        <v>11</v>
      </c>
      <c r="B18" s="1" t="s">
        <v>57</v>
      </c>
      <c r="C18" s="1" t="s">
        <v>7</v>
      </c>
      <c r="D18" s="1"/>
      <c r="E18" s="1"/>
      <c r="F18" s="1"/>
      <c r="G18" s="1"/>
      <c r="H18" s="1"/>
      <c r="I18" s="1"/>
      <c r="J18" s="1"/>
      <c r="K18" s="1"/>
      <c r="L18" s="1"/>
      <c r="M18" s="37" t="s">
        <v>68</v>
      </c>
      <c r="N18" s="95">
        <f>SUMIF('[1]Suivi 2018'!$E:$E,A18,'[1]Suivi 2018'!$J:$J)</f>
        <v>1368.75</v>
      </c>
    </row>
    <row r="19" spans="1:14" ht="30" customHeight="1" x14ac:dyDescent="0.35">
      <c r="A19" s="35">
        <f t="shared" si="0"/>
        <v>10</v>
      </c>
      <c r="B19" s="1" t="s">
        <v>2</v>
      </c>
      <c r="C19" s="1" t="s">
        <v>104</v>
      </c>
      <c r="D19" s="1"/>
      <c r="E19" s="1"/>
      <c r="F19" s="1"/>
      <c r="G19" s="1"/>
      <c r="H19" s="1"/>
      <c r="I19" s="1"/>
      <c r="J19" s="1"/>
      <c r="K19" s="1"/>
      <c r="L19" s="1"/>
      <c r="M19" s="37" t="s">
        <v>68</v>
      </c>
      <c r="N19" s="95">
        <f>SUMIF('[1]Suivi 2018'!$E:$E,A19,'[1]Suivi 2018'!$J:$J)</f>
        <v>7807.6583333333328</v>
      </c>
    </row>
    <row r="20" spans="1:14" ht="30" customHeight="1" x14ac:dyDescent="0.35">
      <c r="A20" s="35">
        <f t="shared" si="0"/>
        <v>9</v>
      </c>
      <c r="B20" s="1" t="s">
        <v>93</v>
      </c>
      <c r="C20" s="1" t="s">
        <v>103</v>
      </c>
      <c r="D20" s="1"/>
      <c r="E20" s="1"/>
      <c r="F20" s="1"/>
      <c r="G20" s="1"/>
      <c r="H20" s="1"/>
      <c r="I20" s="1"/>
      <c r="J20" s="1"/>
      <c r="K20" s="1"/>
      <c r="L20" s="1"/>
      <c r="M20" s="37" t="s">
        <v>68</v>
      </c>
      <c r="N20" s="95">
        <f>SUMIF('[1]Suivi 2018'!$E:$E,A20,'[1]Suivi 2018'!$J:$J)</f>
        <v>3145</v>
      </c>
    </row>
    <row r="21" spans="1:14" ht="30" customHeight="1" x14ac:dyDescent="0.35">
      <c r="A21" s="35">
        <f t="shared" si="0"/>
        <v>8</v>
      </c>
      <c r="B21" s="1" t="s">
        <v>3</v>
      </c>
      <c r="C21" s="1" t="s">
        <v>102</v>
      </c>
      <c r="D21" s="1"/>
      <c r="E21" s="1"/>
      <c r="F21" s="1"/>
      <c r="G21" s="1"/>
      <c r="H21" s="1"/>
      <c r="I21" s="1"/>
      <c r="J21" s="1"/>
      <c r="K21" s="1"/>
      <c r="L21" s="1"/>
      <c r="M21" s="37" t="s">
        <v>68</v>
      </c>
      <c r="N21" s="95">
        <f>SUMIF('[1]Suivi 2018'!$E:$E,A21,'[1]Suivi 2018'!$J:$J)</f>
        <v>7247.458333333333</v>
      </c>
    </row>
    <row r="22" spans="1:14" ht="30" customHeight="1" x14ac:dyDescent="0.35">
      <c r="A22" s="35">
        <f t="shared" si="0"/>
        <v>7</v>
      </c>
      <c r="B22" s="1" t="s">
        <v>51</v>
      </c>
      <c r="C22" s="1" t="s">
        <v>100</v>
      </c>
      <c r="D22" s="1"/>
      <c r="E22" s="1"/>
      <c r="F22" s="1"/>
      <c r="G22" s="1"/>
      <c r="H22" s="1"/>
      <c r="I22" s="1"/>
      <c r="J22" s="1"/>
      <c r="K22" s="1"/>
      <c r="L22" s="1"/>
      <c r="M22" s="66" t="s">
        <v>68</v>
      </c>
      <c r="N22" s="95">
        <f>SUMIF('[1]Suivi 2018'!$E:$E,A22,'[1]Suivi 2018'!$J:$J)</f>
        <v>593</v>
      </c>
    </row>
    <row r="23" spans="1:14" ht="30" customHeight="1" x14ac:dyDescent="0.35">
      <c r="A23" s="35">
        <f t="shared" si="0"/>
        <v>6</v>
      </c>
      <c r="B23" s="1" t="s">
        <v>55</v>
      </c>
      <c r="C23" s="1" t="s">
        <v>50</v>
      </c>
      <c r="D23" s="1" t="s">
        <v>81</v>
      </c>
      <c r="E23" s="1"/>
      <c r="F23" s="1"/>
      <c r="G23" s="1"/>
      <c r="H23" s="1"/>
      <c r="I23" s="1"/>
      <c r="J23" s="1"/>
      <c r="K23" s="1"/>
      <c r="L23" s="1"/>
      <c r="M23" s="66"/>
      <c r="N23" s="95">
        <f>SUMIF('[1]Suivi 2018'!$E:$E,A23,'[1]Suivi 2018'!$J:$J)</f>
        <v>2450</v>
      </c>
    </row>
    <row r="24" spans="1:14" ht="30" customHeight="1" x14ac:dyDescent="0.35">
      <c r="A24" s="35">
        <f t="shared" si="0"/>
        <v>5</v>
      </c>
      <c r="B24" s="1" t="s">
        <v>3</v>
      </c>
      <c r="C24" s="1" t="s">
        <v>98</v>
      </c>
      <c r="D24" s="1" t="s">
        <v>78</v>
      </c>
      <c r="E24" s="1" t="s">
        <v>79</v>
      </c>
      <c r="F24" s="1" t="s">
        <v>80</v>
      </c>
      <c r="G24" s="1"/>
      <c r="H24" s="1"/>
      <c r="I24" s="1"/>
      <c r="J24" s="1"/>
      <c r="K24" s="1"/>
      <c r="L24" s="1"/>
      <c r="M24" s="66"/>
      <c r="N24" s="95">
        <f>SUMIF('[1]Suivi 2018'!$E:$E,A24,'[1]Suivi 2018'!$J:$J)</f>
        <v>4977.6499999999996</v>
      </c>
    </row>
    <row r="25" spans="1:14" ht="30" customHeight="1" x14ac:dyDescent="0.35">
      <c r="A25" s="33">
        <f t="shared" si="0"/>
        <v>4</v>
      </c>
      <c r="B25" s="1" t="s">
        <v>57</v>
      </c>
      <c r="C25" s="1" t="s">
        <v>99</v>
      </c>
      <c r="D25" s="1" t="s">
        <v>77</v>
      </c>
      <c r="E25" s="1" t="s">
        <v>77</v>
      </c>
      <c r="F25" s="1"/>
      <c r="G25" s="1"/>
      <c r="H25" s="1"/>
      <c r="I25" s="1"/>
      <c r="J25" s="1"/>
      <c r="K25" s="1"/>
      <c r="L25" s="1"/>
      <c r="M25" s="66"/>
      <c r="N25" s="95">
        <f>SUMIF('[1]Suivi 2018'!$E:$E,A25,'[1]Suivi 2018'!$J:$J)</f>
        <v>4925</v>
      </c>
    </row>
    <row r="26" spans="1:14" ht="30" customHeight="1" x14ac:dyDescent="0.35">
      <c r="A26" s="33">
        <f t="shared" si="0"/>
        <v>3</v>
      </c>
      <c r="B26" s="1" t="s">
        <v>53</v>
      </c>
      <c r="C26" s="1" t="s">
        <v>6</v>
      </c>
      <c r="D26" s="1" t="s">
        <v>73</v>
      </c>
      <c r="E26" s="1" t="s">
        <v>75</v>
      </c>
      <c r="F26" s="1" t="s">
        <v>74</v>
      </c>
      <c r="G26" s="1" t="s">
        <v>76</v>
      </c>
      <c r="H26" s="1" t="s">
        <v>76</v>
      </c>
      <c r="I26" s="1" t="s">
        <v>76</v>
      </c>
      <c r="J26" s="1" t="s">
        <v>76</v>
      </c>
      <c r="K26" s="1" t="s">
        <v>76</v>
      </c>
      <c r="L26" s="34" t="s">
        <v>76</v>
      </c>
      <c r="M26" s="66"/>
      <c r="N26" s="95">
        <f>SUMIF('[1]Suivi 2018'!$E:$E,A26,'[1]Suivi 2018'!$J:$J)</f>
        <v>5858.958333333333</v>
      </c>
    </row>
    <row r="27" spans="1:14" ht="30" customHeight="1" x14ac:dyDescent="0.35">
      <c r="A27" s="33">
        <f t="shared" si="0"/>
        <v>2</v>
      </c>
      <c r="B27" s="1" t="s">
        <v>55</v>
      </c>
      <c r="C27" s="1" t="s">
        <v>5</v>
      </c>
      <c r="D27" s="1" t="s">
        <v>72</v>
      </c>
      <c r="E27" s="1" t="s">
        <v>72</v>
      </c>
      <c r="F27" s="1" t="s">
        <v>72</v>
      </c>
      <c r="G27" s="1" t="s">
        <v>72</v>
      </c>
      <c r="H27" s="1" t="s">
        <v>72</v>
      </c>
      <c r="I27" s="1" t="s">
        <v>72</v>
      </c>
      <c r="J27" s="1" t="s">
        <v>72</v>
      </c>
      <c r="K27" s="1" t="s">
        <v>72</v>
      </c>
      <c r="L27" s="34" t="s">
        <v>72</v>
      </c>
      <c r="M27" s="66" t="s">
        <v>69</v>
      </c>
      <c r="N27" s="95">
        <f>SUMIF('[1]Suivi 2018'!$E:$E,A27,'[1]Suivi 2018'!$J:$J)</f>
        <v>5366.6833333333334</v>
      </c>
    </row>
    <row r="28" spans="1:14" ht="30" customHeight="1" x14ac:dyDescent="0.35">
      <c r="A28" s="38">
        <v>1</v>
      </c>
      <c r="B28" s="28" t="s">
        <v>2</v>
      </c>
      <c r="C28" s="28" t="s">
        <v>4</v>
      </c>
      <c r="D28" s="28" t="s">
        <v>66</v>
      </c>
      <c r="E28" s="28" t="s">
        <v>66</v>
      </c>
      <c r="F28" s="39" t="s">
        <v>66</v>
      </c>
      <c r="G28" s="39" t="s">
        <v>66</v>
      </c>
      <c r="H28" s="39" t="s">
        <v>66</v>
      </c>
      <c r="I28" s="28" t="s">
        <v>66</v>
      </c>
      <c r="J28" s="28" t="s">
        <v>66</v>
      </c>
      <c r="K28" s="28" t="s">
        <v>66</v>
      </c>
      <c r="L28" s="40" t="s">
        <v>66</v>
      </c>
      <c r="M28" s="67"/>
      <c r="N28" s="95">
        <f>SUMIF('[1]Suivi 2018'!$E:$E,A28,'[1]Suivi 2018'!$J:$J)</f>
        <v>5644.8</v>
      </c>
    </row>
  </sheetData>
  <mergeCells count="3">
    <mergeCell ref="B1:C1"/>
    <mergeCell ref="B9:C9"/>
    <mergeCell ref="I15:L15"/>
  </mergeCells>
  <dataValidations count="2">
    <dataValidation allowBlank="1" showInputMessage="1" showErrorMessage="1" errorTitle="Ce nom a déjà été attribué" error="Vous ne pouvez pas rentrer de doublons dans la colonne C" sqref="C22:C28"/>
    <dataValidation type="custom" allowBlank="1" showInputMessage="1" showErrorMessage="1" errorTitle="Ce nom a déjà été attribué" error="Vous ne pouvez pas saisir en doublon le nom d'un projet" sqref="C3 C17:C21">
      <formula1>COUNTIF(C:C,C3)=1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3" r:id="rId4" name="Button 3">
              <controlPr defaultSize="0" print="0" autoFill="0" autoPict="0" macro="[0]!Enregistrement_projet">
                <anchor moveWithCells="1" sizeWithCells="1">
                  <from>
                    <xdr:col>3</xdr:col>
                    <xdr:colOff>704850</xdr:colOff>
                    <xdr:row>12</xdr:row>
                    <xdr:rowOff>12700</xdr:rowOff>
                  </from>
                  <to>
                    <xdr:col>4</xdr:col>
                    <xdr:colOff>622300</xdr:colOff>
                    <xdr:row>13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showInputMessage="1" showErrorMessage="1">
          <x14:formula1>
            <xm:f>'Paramètres - Listes de validité'!$A$4:$A$10</xm:f>
          </x14:formula1>
          <xm:sqref>C2</xm:sqref>
        </x14:dataValidation>
        <x14:dataValidation type="list" showDropDown="1" showInputMessage="1" showErrorMessage="1">
          <x14:formula1>
            <xm:f>'Paramètres - Listes de validité'!$A$4:$A$10</xm:f>
          </x14:formula1>
          <xm:sqref>B18:B19</xm:sqref>
        </x14:dataValidation>
        <x14:dataValidation type="list" showDropDown="1" showInputMessage="1" showErrorMessage="1">
          <x14:formula1>
            <xm:f>'Paramètres - Listes de validité'!$A$4:$A$10</xm:f>
          </x14:formula1>
          <xm:sqref>B20:B28</xm:sqref>
        </x14:dataValidation>
        <x14:dataValidation type="list" showInputMessage="1" showErrorMessage="1">
          <x14:formula1>
            <xm:f>'Paramètres - Listes de validité'!$E$4:$E$7</xm:f>
          </x14:formula1>
          <xm:sqref>M17:M28</xm:sqref>
        </x14:dataValidation>
        <x14:dataValidation type="list" showDropDown="1" showInputMessage="1" showErrorMessage="1">
          <x14:formula1>
            <xm:f>'Paramètres - Listes de validité'!$A$4:$A$10</xm:f>
          </x14:formula1>
          <xm:sqref>B17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D25"/>
  <sheetViews>
    <sheetView workbookViewId="0">
      <selection activeCell="D5" sqref="D5"/>
    </sheetView>
  </sheetViews>
  <sheetFormatPr baseColWidth="10" defaultColWidth="11.453125" defaultRowHeight="14.5" x14ac:dyDescent="0.35"/>
  <cols>
    <col min="1" max="1" width="11.453125" style="64"/>
    <col min="2" max="2" width="18.453125" style="6" customWidth="1"/>
    <col min="3" max="3" width="30.7265625" style="6" customWidth="1"/>
    <col min="4" max="4" width="49.81640625" style="6" customWidth="1"/>
    <col min="5" max="16384" width="11.453125" style="6"/>
  </cols>
  <sheetData>
    <row r="1" spans="1:4" x14ac:dyDescent="0.35">
      <c r="A1" s="6"/>
      <c r="B1" s="64"/>
      <c r="C1" s="115" t="s">
        <v>96</v>
      </c>
      <c r="D1" s="115"/>
    </row>
    <row r="2" spans="1:4" ht="20.149999999999999" customHeight="1" x14ac:dyDescent="0.35">
      <c r="A2" s="6"/>
      <c r="B2" s="64"/>
      <c r="C2" s="9" t="s">
        <v>97</v>
      </c>
      <c r="D2" s="2" t="s">
        <v>45</v>
      </c>
    </row>
    <row r="3" spans="1:4" ht="20.149999999999999" customHeight="1" x14ac:dyDescent="0.35">
      <c r="A3" s="6"/>
      <c r="B3" s="64"/>
      <c r="C3" s="9" t="s">
        <v>48</v>
      </c>
      <c r="D3" s="9" t="s">
        <v>37</v>
      </c>
    </row>
    <row r="4" spans="1:4" ht="20.149999999999999" customHeight="1" x14ac:dyDescent="0.35">
      <c r="A4" s="6"/>
      <c r="B4" s="64"/>
      <c r="C4" s="9" t="s">
        <v>22</v>
      </c>
      <c r="D4" s="9"/>
    </row>
    <row r="5" spans="1:4" ht="20.149999999999999" customHeight="1" x14ac:dyDescent="0.35"/>
    <row r="6" spans="1:4" ht="20.149999999999999" customHeight="1" x14ac:dyDescent="0.35"/>
    <row r="7" spans="1:4" ht="20.149999999999999" customHeight="1" x14ac:dyDescent="0.35">
      <c r="A7" s="87" t="s">
        <v>65</v>
      </c>
      <c r="B7" s="88" t="s">
        <v>97</v>
      </c>
      <c r="C7" s="89" t="s">
        <v>48</v>
      </c>
      <c r="D7" s="90" t="s">
        <v>22</v>
      </c>
    </row>
    <row r="8" spans="1:4" ht="20.149999999999999" customHeight="1" x14ac:dyDescent="0.35">
      <c r="A8" s="85" t="s">
        <v>105</v>
      </c>
      <c r="B8" s="2" t="s">
        <v>20</v>
      </c>
      <c r="C8" s="8" t="s">
        <v>23</v>
      </c>
      <c r="D8" s="86" t="s">
        <v>24</v>
      </c>
    </row>
    <row r="9" spans="1:4" ht="20.149999999999999" customHeight="1" x14ac:dyDescent="0.35">
      <c r="A9" s="85" t="s">
        <v>106</v>
      </c>
      <c r="B9" s="2" t="s">
        <v>20</v>
      </c>
      <c r="C9" s="8" t="s">
        <v>23</v>
      </c>
      <c r="D9" s="86" t="s">
        <v>25</v>
      </c>
    </row>
    <row r="10" spans="1:4" ht="20.149999999999999" customHeight="1" x14ac:dyDescent="0.35">
      <c r="A10" s="85" t="s">
        <v>107</v>
      </c>
      <c r="B10" s="2" t="s">
        <v>20</v>
      </c>
      <c r="C10" s="8" t="s">
        <v>23</v>
      </c>
      <c r="D10" s="86" t="s">
        <v>26</v>
      </c>
    </row>
    <row r="11" spans="1:4" ht="20.149999999999999" customHeight="1" x14ac:dyDescent="0.35">
      <c r="A11" s="85" t="s">
        <v>108</v>
      </c>
      <c r="B11" s="2" t="s">
        <v>20</v>
      </c>
      <c r="C11" s="8" t="s">
        <v>23</v>
      </c>
      <c r="D11" s="86" t="s">
        <v>27</v>
      </c>
    </row>
    <row r="12" spans="1:4" ht="20.149999999999999" customHeight="1" x14ac:dyDescent="0.35">
      <c r="A12" s="85" t="s">
        <v>109</v>
      </c>
      <c r="B12" s="2" t="s">
        <v>20</v>
      </c>
      <c r="C12" s="8" t="s">
        <v>23</v>
      </c>
      <c r="D12" s="86" t="s">
        <v>28</v>
      </c>
    </row>
    <row r="13" spans="1:4" ht="20.149999999999999" customHeight="1" x14ac:dyDescent="0.35">
      <c r="A13" s="85" t="s">
        <v>110</v>
      </c>
      <c r="B13" s="2" t="s">
        <v>20</v>
      </c>
      <c r="C13" s="8" t="s">
        <v>23</v>
      </c>
      <c r="D13" s="86" t="s">
        <v>29</v>
      </c>
    </row>
    <row r="14" spans="1:4" ht="20.149999999999999" customHeight="1" x14ac:dyDescent="0.35">
      <c r="A14" s="85" t="s">
        <v>111</v>
      </c>
      <c r="B14" s="2" t="s">
        <v>20</v>
      </c>
      <c r="C14" s="92" t="s">
        <v>23</v>
      </c>
      <c r="D14" s="86" t="s">
        <v>30</v>
      </c>
    </row>
    <row r="15" spans="1:4" ht="20.149999999999999" customHeight="1" x14ac:dyDescent="0.35">
      <c r="A15" s="85" t="s">
        <v>112</v>
      </c>
      <c r="B15" s="2" t="s">
        <v>20</v>
      </c>
      <c r="C15" s="10" t="s">
        <v>31</v>
      </c>
      <c r="D15" s="86" t="s">
        <v>38</v>
      </c>
    </row>
    <row r="16" spans="1:4" ht="20.149999999999999" customHeight="1" x14ac:dyDescent="0.35">
      <c r="A16" s="85" t="s">
        <v>113</v>
      </c>
      <c r="B16" s="2" t="s">
        <v>20</v>
      </c>
      <c r="C16" s="10" t="s">
        <v>31</v>
      </c>
      <c r="D16" s="86" t="s">
        <v>39</v>
      </c>
    </row>
    <row r="17" spans="1:4" ht="20.149999999999999" customHeight="1" x14ac:dyDescent="0.35">
      <c r="A17" s="85" t="s">
        <v>114</v>
      </c>
      <c r="B17" s="2" t="s">
        <v>20</v>
      </c>
      <c r="C17" s="10" t="s">
        <v>31</v>
      </c>
      <c r="D17" s="86" t="s">
        <v>41</v>
      </c>
    </row>
    <row r="18" spans="1:4" ht="20.149999999999999" customHeight="1" x14ac:dyDescent="0.35">
      <c r="A18" s="85" t="s">
        <v>115</v>
      </c>
      <c r="B18" s="2" t="s">
        <v>20</v>
      </c>
      <c r="C18" s="10" t="s">
        <v>31</v>
      </c>
      <c r="D18" s="86" t="s">
        <v>42</v>
      </c>
    </row>
    <row r="19" spans="1:4" ht="20.149999999999999" customHeight="1" x14ac:dyDescent="0.35">
      <c r="A19" s="85" t="s">
        <v>116</v>
      </c>
      <c r="B19" s="2" t="s">
        <v>20</v>
      </c>
      <c r="C19" s="10" t="s">
        <v>31</v>
      </c>
      <c r="D19" s="86" t="s">
        <v>44</v>
      </c>
    </row>
    <row r="20" spans="1:4" ht="20.149999999999999" customHeight="1" x14ac:dyDescent="0.35">
      <c r="A20" s="85" t="s">
        <v>117</v>
      </c>
      <c r="B20" s="2" t="s">
        <v>20</v>
      </c>
      <c r="C20" s="11" t="s">
        <v>37</v>
      </c>
      <c r="D20" s="86" t="s">
        <v>32</v>
      </c>
    </row>
    <row r="21" spans="1:4" ht="20.149999999999999" customHeight="1" x14ac:dyDescent="0.35">
      <c r="A21" s="85" t="s">
        <v>118</v>
      </c>
      <c r="B21" s="2" t="s">
        <v>20</v>
      </c>
      <c r="C21" s="11" t="s">
        <v>37</v>
      </c>
      <c r="D21" s="86" t="s">
        <v>33</v>
      </c>
    </row>
    <row r="22" spans="1:4" ht="20.149999999999999" customHeight="1" x14ac:dyDescent="0.35">
      <c r="A22" s="85" t="s">
        <v>119</v>
      </c>
      <c r="B22" s="2" t="s">
        <v>20</v>
      </c>
      <c r="C22" s="12" t="s">
        <v>40</v>
      </c>
      <c r="D22" s="86" t="s">
        <v>35</v>
      </c>
    </row>
    <row r="23" spans="1:4" ht="20.149999999999999" customHeight="1" x14ac:dyDescent="0.35">
      <c r="A23" s="85" t="s">
        <v>120</v>
      </c>
      <c r="B23" s="2" t="s">
        <v>20</v>
      </c>
      <c r="C23" s="12" t="s">
        <v>40</v>
      </c>
      <c r="D23" s="86" t="s">
        <v>36</v>
      </c>
    </row>
    <row r="24" spans="1:4" ht="20.149999999999999" customHeight="1" x14ac:dyDescent="0.35">
      <c r="A24" s="85" t="s">
        <v>121</v>
      </c>
      <c r="B24" s="2" t="s">
        <v>20</v>
      </c>
      <c r="C24" s="13" t="s">
        <v>43</v>
      </c>
      <c r="D24" s="86" t="s">
        <v>34</v>
      </c>
    </row>
    <row r="25" spans="1:4" ht="20.149999999999999" customHeight="1" x14ac:dyDescent="0.35">
      <c r="A25" s="85" t="s">
        <v>122</v>
      </c>
      <c r="B25" s="91" t="s">
        <v>45</v>
      </c>
      <c r="C25" s="76" t="s">
        <v>94</v>
      </c>
      <c r="D25" s="77" t="s">
        <v>46</v>
      </c>
    </row>
  </sheetData>
  <mergeCells count="1">
    <mergeCell ref="C1:D1"/>
  </mergeCells>
  <conditionalFormatting sqref="C8:C25">
    <cfRule type="expression" dxfId="5" priority="1">
      <formula>$C8="AUTRES"</formula>
    </cfRule>
    <cfRule type="expression" dxfId="4" priority="2">
      <formula>$C8="DIVERS"</formula>
    </cfRule>
    <cfRule type="expression" dxfId="3" priority="3">
      <formula>$C8="FORMATION"</formula>
    </cfRule>
    <cfRule type="expression" dxfId="2" priority="4">
      <formula>$C8="BENEVOLAT"</formula>
    </cfRule>
    <cfRule type="expression" dxfId="1" priority="5">
      <formula>$C8="PROSPECTS"</formula>
    </cfRule>
    <cfRule type="expression" dxfId="0" priority="6">
      <formula>$C8="ADMINISTRATIF ET MANAGEMENT"</formula>
    </cfRule>
  </conditionalFormatting>
  <dataValidations count="1">
    <dataValidation type="custom" allowBlank="1" showInputMessage="1" showErrorMessage="1" sqref="D4">
      <formula1>COUNTIF(D:D,D4)=1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>
          <x14:formula1>
            <xm:f>'Paramètres - Listes de validité'!$G$4:$G$5</xm:f>
          </x14:formula1>
          <xm:sqref>D2</xm:sqref>
        </x14:dataValidation>
        <x14:dataValidation type="list" showInputMessage="1" showErrorMessage="1">
          <x14:formula1>
            <xm:f>'Paramètres - Listes de validité'!$I$4:$I$9</xm:f>
          </x14:formula1>
          <xm:sqref>D3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K23"/>
  <sheetViews>
    <sheetView topLeftCell="E1" workbookViewId="0">
      <selection activeCell="K1" sqref="K1"/>
    </sheetView>
  </sheetViews>
  <sheetFormatPr baseColWidth="10" defaultRowHeight="14.5" x14ac:dyDescent="0.35"/>
  <cols>
    <col min="1" max="1" width="23.7265625" customWidth="1"/>
    <col min="2" max="2" width="16.26953125" customWidth="1"/>
    <col min="3" max="3" width="18.54296875" customWidth="1"/>
    <col min="4" max="4" width="20.1796875" customWidth="1"/>
    <col min="5" max="5" width="18.81640625" customWidth="1"/>
    <col min="8" max="8" width="25.54296875" customWidth="1"/>
    <col min="9" max="9" width="18" bestFit="1" customWidth="1"/>
    <col min="10" max="10" width="18.54296875" customWidth="1"/>
    <col min="11" max="11" width="20" customWidth="1"/>
  </cols>
  <sheetData>
    <row r="1" spans="1:11" s="55" customFormat="1" ht="30" customHeight="1" x14ac:dyDescent="0.35">
      <c r="A1" s="50" t="s">
        <v>84</v>
      </c>
      <c r="B1" s="51" t="s">
        <v>85</v>
      </c>
      <c r="C1" s="51" t="s">
        <v>86</v>
      </c>
      <c r="D1" s="51" t="s">
        <v>87</v>
      </c>
      <c r="E1" s="52" t="s">
        <v>88</v>
      </c>
      <c r="I1" s="50" t="s">
        <v>90</v>
      </c>
      <c r="J1" s="117">
        <v>2019</v>
      </c>
      <c r="K1" s="117">
        <v>2020</v>
      </c>
    </row>
    <row r="2" spans="1:11" ht="20.149999999999999" customHeight="1" x14ac:dyDescent="0.35">
      <c r="A2" s="2" t="s">
        <v>4</v>
      </c>
      <c r="B2" s="46">
        <f>3433.26*12+250</f>
        <v>41449.120000000003</v>
      </c>
      <c r="C2" s="46">
        <f>151.67*12</f>
        <v>1820.04</v>
      </c>
      <c r="D2" s="48">
        <f>B2/C2</f>
        <v>22.773741236456342</v>
      </c>
      <c r="E2" s="48">
        <f>D2*7</f>
        <v>159.41618865519439</v>
      </c>
      <c r="I2" s="56" t="s">
        <v>4</v>
      </c>
      <c r="J2" s="57">
        <f>D2</f>
        <v>22.773741236456342</v>
      </c>
      <c r="K2" s="57">
        <f>D9</f>
        <v>23.773741236456342</v>
      </c>
    </row>
    <row r="3" spans="1:11" ht="20.149999999999999" customHeight="1" x14ac:dyDescent="0.35">
      <c r="A3" s="2" t="s">
        <v>50</v>
      </c>
      <c r="B3" s="46">
        <f>4186*12+250</f>
        <v>50482</v>
      </c>
      <c r="C3" s="47">
        <f>151.67*12</f>
        <v>1820.04</v>
      </c>
      <c r="D3" s="48">
        <f>B3/C3</f>
        <v>27.73675303839476</v>
      </c>
      <c r="E3" s="48">
        <f>D3*7</f>
        <v>194.15727126876331</v>
      </c>
      <c r="I3" s="56" t="s">
        <v>50</v>
      </c>
      <c r="J3" s="57">
        <f>D3</f>
        <v>27.73675303839476</v>
      </c>
      <c r="K3" s="57">
        <f>D10</f>
        <v>28.73675303839476</v>
      </c>
    </row>
    <row r="4" spans="1:11" ht="20.149999999999999" customHeight="1" x14ac:dyDescent="0.35">
      <c r="A4" s="2" t="s">
        <v>52</v>
      </c>
      <c r="B4" s="46">
        <f>1731.85*12+250</f>
        <v>21032.199999999997</v>
      </c>
      <c r="C4" s="47">
        <f>43.33*12</f>
        <v>519.96</v>
      </c>
      <c r="D4" s="48">
        <f>B4/C4</f>
        <v>40.449649973074841</v>
      </c>
      <c r="E4" s="48">
        <f>D4*7</f>
        <v>283.1475498115239</v>
      </c>
      <c r="I4" s="56" t="s">
        <v>52</v>
      </c>
      <c r="J4" s="57">
        <f>D4</f>
        <v>40.449649973074841</v>
      </c>
      <c r="K4" s="57">
        <f>D11</f>
        <v>41.449649973074841</v>
      </c>
    </row>
    <row r="5" spans="1:11" ht="20.149999999999999" customHeight="1" x14ac:dyDescent="0.35">
      <c r="A5" s="2" t="s">
        <v>54</v>
      </c>
      <c r="B5" s="46">
        <f>2913.67*12+250</f>
        <v>35214.04</v>
      </c>
      <c r="C5" s="47">
        <f>151.67*12</f>
        <v>1820.04</v>
      </c>
      <c r="D5" s="48">
        <f>B5/C5</f>
        <v>19.347948396738534</v>
      </c>
      <c r="E5" s="48">
        <f>D5*7</f>
        <v>135.43563877716974</v>
      </c>
      <c r="I5" s="56" t="s">
        <v>54</v>
      </c>
      <c r="J5" s="57">
        <f>D5</f>
        <v>19.347948396738534</v>
      </c>
      <c r="K5" s="57">
        <f>D12</f>
        <v>20.347948396738534</v>
      </c>
    </row>
    <row r="6" spans="1:11" ht="20.149999999999999" customHeight="1" x14ac:dyDescent="0.35">
      <c r="A6" s="2" t="s">
        <v>56</v>
      </c>
      <c r="B6" s="46">
        <f>2938*12+250</f>
        <v>35506</v>
      </c>
      <c r="C6" s="47">
        <f>138.67*12</f>
        <v>1664.04</v>
      </c>
      <c r="D6" s="48">
        <f>B6/C6</f>
        <v>21.337227470493499</v>
      </c>
      <c r="E6" s="48">
        <f>D6*7</f>
        <v>149.36059229345449</v>
      </c>
      <c r="I6" s="56" t="s">
        <v>56</v>
      </c>
      <c r="J6" s="57">
        <f>D6</f>
        <v>21.337227470493499</v>
      </c>
      <c r="K6" s="57">
        <f>D13</f>
        <v>22.337227470493499</v>
      </c>
    </row>
    <row r="7" spans="1:11" ht="20.149999999999999" customHeight="1" x14ac:dyDescent="0.35"/>
    <row r="8" spans="1:11" s="55" customFormat="1" ht="30" customHeight="1" x14ac:dyDescent="0.35">
      <c r="A8" s="50" t="s">
        <v>89</v>
      </c>
      <c r="B8" s="51" t="s">
        <v>85</v>
      </c>
      <c r="C8" s="51" t="s">
        <v>86</v>
      </c>
      <c r="D8" s="51" t="s">
        <v>87</v>
      </c>
      <c r="E8" s="52" t="s">
        <v>88</v>
      </c>
    </row>
    <row r="9" spans="1:11" ht="20.149999999999999" customHeight="1" x14ac:dyDescent="0.35">
      <c r="A9" s="2" t="s">
        <v>4</v>
      </c>
      <c r="B9" s="46">
        <f>3433.26*12+250</f>
        <v>41449.120000000003</v>
      </c>
      <c r="C9" s="46">
        <f>151.67*12</f>
        <v>1820.04</v>
      </c>
      <c r="D9" s="48">
        <f>B9/C9+1</f>
        <v>23.773741236456342</v>
      </c>
      <c r="E9" s="48">
        <f>D9*7</f>
        <v>166.41618865519439</v>
      </c>
    </row>
    <row r="10" spans="1:11" ht="20.149999999999999" customHeight="1" x14ac:dyDescent="0.35">
      <c r="A10" s="2" t="s">
        <v>50</v>
      </c>
      <c r="B10" s="46">
        <f>4186*12+250</f>
        <v>50482</v>
      </c>
      <c r="C10" s="47">
        <f>151.67*12</f>
        <v>1820.04</v>
      </c>
      <c r="D10" s="48">
        <f>B10/C10+1</f>
        <v>28.73675303839476</v>
      </c>
      <c r="E10" s="48">
        <f>D10*7</f>
        <v>201.15727126876331</v>
      </c>
      <c r="J10" s="65"/>
    </row>
    <row r="11" spans="1:11" ht="20.149999999999999" customHeight="1" x14ac:dyDescent="0.35">
      <c r="A11" s="2" t="s">
        <v>52</v>
      </c>
      <c r="B11" s="46">
        <f>1731.85*12+250</f>
        <v>21032.199999999997</v>
      </c>
      <c r="C11" s="47">
        <f>43.33*12</f>
        <v>519.96</v>
      </c>
      <c r="D11" s="48">
        <f>B11/C11+1</f>
        <v>41.449649973074841</v>
      </c>
      <c r="E11" s="48">
        <f>D11*7</f>
        <v>290.1475498115239</v>
      </c>
    </row>
    <row r="12" spans="1:11" ht="20.149999999999999" customHeight="1" x14ac:dyDescent="0.35">
      <c r="A12" s="2" t="s">
        <v>54</v>
      </c>
      <c r="B12" s="46">
        <f>2913.67*12+250</f>
        <v>35214.04</v>
      </c>
      <c r="C12" s="47">
        <f>151.67*12</f>
        <v>1820.04</v>
      </c>
      <c r="D12" s="48">
        <f>B12/C12+1</f>
        <v>20.347948396738534</v>
      </c>
      <c r="E12" s="48">
        <f>D12*7</f>
        <v>142.43563877716974</v>
      </c>
    </row>
    <row r="13" spans="1:11" ht="20.149999999999999" customHeight="1" x14ac:dyDescent="0.35">
      <c r="A13" s="2" t="s">
        <v>56</v>
      </c>
      <c r="B13" s="46">
        <f>2938*12+250</f>
        <v>35506</v>
      </c>
      <c r="C13" s="47">
        <f>138.67*12</f>
        <v>1664.04</v>
      </c>
      <c r="D13" s="48">
        <f>B13/C13+1</f>
        <v>22.337227470493499</v>
      </c>
      <c r="E13" s="48">
        <f>D13*7</f>
        <v>156.36059229345449</v>
      </c>
    </row>
    <row r="18" spans="9:9" ht="20.149999999999999" customHeight="1" x14ac:dyDescent="0.35">
      <c r="I18" s="93"/>
    </row>
    <row r="19" spans="9:9" ht="20.149999999999999" customHeight="1" x14ac:dyDescent="0.35"/>
    <row r="20" spans="9:9" ht="20.149999999999999" customHeight="1" x14ac:dyDescent="0.35"/>
    <row r="21" spans="9:9" ht="20.149999999999999" customHeight="1" x14ac:dyDescent="0.35"/>
    <row r="22" spans="9:9" ht="20.149999999999999" customHeight="1" x14ac:dyDescent="0.35"/>
    <row r="23" spans="9:9" ht="20.149999999999999" customHeight="1" x14ac:dyDescent="0.35"/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10"/>
  <sheetViews>
    <sheetView workbookViewId="0">
      <selection activeCell="C21" sqref="C21"/>
    </sheetView>
  </sheetViews>
  <sheetFormatPr baseColWidth="10" defaultRowHeight="14.5" x14ac:dyDescent="0.35"/>
  <cols>
    <col min="1" max="1" width="39.26953125" bestFit="1" customWidth="1"/>
    <col min="7" max="7" width="21.26953125" bestFit="1" customWidth="1"/>
    <col min="9" max="9" width="31.26953125" bestFit="1" customWidth="1"/>
  </cols>
  <sheetData>
    <row r="1" spans="1:9" x14ac:dyDescent="0.35">
      <c r="A1" s="83" t="s">
        <v>125</v>
      </c>
      <c r="C1" s="116" t="s">
        <v>126</v>
      </c>
      <c r="D1" s="116"/>
      <c r="E1" s="116"/>
      <c r="F1" s="21"/>
      <c r="G1" s="116" t="s">
        <v>127</v>
      </c>
      <c r="H1" s="116"/>
      <c r="I1" s="116"/>
    </row>
    <row r="3" spans="1:9" x14ac:dyDescent="0.35">
      <c r="A3" s="15" t="s">
        <v>49</v>
      </c>
      <c r="C3" s="15" t="s">
        <v>11</v>
      </c>
      <c r="E3" s="15" t="s">
        <v>67</v>
      </c>
      <c r="G3" s="15" t="s">
        <v>97</v>
      </c>
      <c r="I3" s="15" t="s">
        <v>124</v>
      </c>
    </row>
    <row r="4" spans="1:9" x14ac:dyDescent="0.35">
      <c r="A4" s="9" t="s">
        <v>2</v>
      </c>
      <c r="C4" s="2" t="s">
        <v>4</v>
      </c>
      <c r="E4" s="2" t="s">
        <v>68</v>
      </c>
      <c r="G4" s="2" t="s">
        <v>20</v>
      </c>
      <c r="I4" s="9" t="s">
        <v>23</v>
      </c>
    </row>
    <row r="5" spans="1:9" x14ac:dyDescent="0.35">
      <c r="A5" s="9" t="s">
        <v>3</v>
      </c>
      <c r="C5" s="2" t="s">
        <v>50</v>
      </c>
      <c r="E5" s="2" t="s">
        <v>69</v>
      </c>
      <c r="G5" s="2" t="s">
        <v>45</v>
      </c>
      <c r="I5" s="9" t="s">
        <v>31</v>
      </c>
    </row>
    <row r="6" spans="1:9" x14ac:dyDescent="0.35">
      <c r="A6" s="9" t="s">
        <v>51</v>
      </c>
      <c r="C6" s="2" t="s">
        <v>52</v>
      </c>
      <c r="E6" s="2" t="s">
        <v>70</v>
      </c>
      <c r="I6" s="9" t="s">
        <v>37</v>
      </c>
    </row>
    <row r="7" spans="1:9" x14ac:dyDescent="0.35">
      <c r="A7" s="9" t="s">
        <v>53</v>
      </c>
      <c r="C7" s="2" t="s">
        <v>54</v>
      </c>
      <c r="E7" s="2" t="s">
        <v>71</v>
      </c>
      <c r="I7" s="9" t="s">
        <v>40</v>
      </c>
    </row>
    <row r="8" spans="1:9" x14ac:dyDescent="0.35">
      <c r="A8" s="9" t="s">
        <v>55</v>
      </c>
      <c r="C8" s="2" t="s">
        <v>56</v>
      </c>
      <c r="I8" s="68" t="s">
        <v>43</v>
      </c>
    </row>
    <row r="9" spans="1:9" x14ac:dyDescent="0.35">
      <c r="A9" s="9" t="s">
        <v>57</v>
      </c>
      <c r="I9" s="9" t="s">
        <v>94</v>
      </c>
    </row>
    <row r="10" spans="1:9" x14ac:dyDescent="0.35">
      <c r="A10" s="68" t="s">
        <v>93</v>
      </c>
    </row>
  </sheetData>
  <mergeCells count="2">
    <mergeCell ref="C1:E1"/>
    <mergeCell ref="G1:I1"/>
  </mergeCells>
  <dataValidations count="1">
    <dataValidation showInputMessage="1" showErrorMessage="1" sqref="A3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Saisie du temps</vt:lpstr>
      <vt:lpstr>BdD</vt:lpstr>
      <vt:lpstr>Feuil1</vt:lpstr>
      <vt:lpstr>Synthèse</vt:lpstr>
      <vt:lpstr>Nouveau projet</vt:lpstr>
      <vt:lpstr>Nouvelle fonction</vt:lpstr>
      <vt:lpstr>Coût horaire</vt:lpstr>
      <vt:lpstr>Paramètres - Listes de validité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Yolande</dc:creator>
  <cp:lastModifiedBy>Michel</cp:lastModifiedBy>
  <cp:lastPrinted>2019-05-16T09:46:21Z</cp:lastPrinted>
  <dcterms:created xsi:type="dcterms:W3CDTF">2019-05-13T15:48:24Z</dcterms:created>
  <dcterms:modified xsi:type="dcterms:W3CDTF">2019-05-21T02:58:05Z</dcterms:modified>
</cp:coreProperties>
</file>