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30" windowWidth="19875" windowHeight="7710" activeTab="2"/>
  </bookViews>
  <sheets>
    <sheet name="paramètres" sheetId="2" r:id="rId1"/>
    <sheet name="planning" sheetId="1" r:id="rId2"/>
    <sheet name="recap mensuelle" sheetId="3" r:id="rId3"/>
  </sheets>
  <definedNames>
    <definedName name="absences">paramètres!$L$29:$L$40</definedName>
    <definedName name="dépassement_hebdo">planning!$J$4:$J$374</definedName>
    <definedName name="Heures_assimilées_TTE">planning!$H$4:$H$374</definedName>
    <definedName name="planifié">planning!$D$4:$D$374</definedName>
    <definedName name="realisé">planning!$E$4:$E$374</definedName>
    <definedName name="réalisé_hebdo">planning!$F$4:$F$374</definedName>
    <definedName name="saisie_absence">planning!$G$4:$G$374</definedName>
    <definedName name="saisir_année">paramètres!$B$1</definedName>
    <definedName name="total_heures_assimilées_tte">planning!$I$4:$I$374</definedName>
    <definedName name="_xlnm.Print_Area" localSheetId="2">'recap mensuelle'!$B$1:$K$55</definedName>
  </definedNames>
  <calcPr calcId="145621"/>
</workbook>
</file>

<file path=xl/calcChain.xml><?xml version="1.0" encoding="utf-8"?>
<calcChain xmlns="http://schemas.openxmlformats.org/spreadsheetml/2006/main">
  <c r="C15" i="3" l="1"/>
  <c r="C13" i="3"/>
  <c r="H148" i="1" l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C16" i="3" s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D3" i="3" l="1"/>
  <c r="D2" i="3"/>
  <c r="D1" i="3"/>
  <c r="J374" i="1"/>
  <c r="J367" i="1"/>
  <c r="J360" i="1"/>
  <c r="J353" i="1"/>
  <c r="J346" i="1"/>
  <c r="J339" i="1"/>
  <c r="J332" i="1"/>
  <c r="J325" i="1"/>
  <c r="J318" i="1"/>
  <c r="J311" i="1"/>
  <c r="J304" i="1"/>
  <c r="J297" i="1"/>
  <c r="J290" i="1"/>
  <c r="J283" i="1"/>
  <c r="J276" i="1"/>
  <c r="J269" i="1"/>
  <c r="J262" i="1"/>
  <c r="J255" i="1"/>
  <c r="J248" i="1"/>
  <c r="J241" i="1"/>
  <c r="J234" i="1"/>
  <c r="J227" i="1"/>
  <c r="J220" i="1"/>
  <c r="J213" i="1"/>
  <c r="J206" i="1"/>
  <c r="J199" i="1"/>
  <c r="J192" i="1"/>
  <c r="J185" i="1"/>
  <c r="J178" i="1"/>
  <c r="J171" i="1"/>
  <c r="J164" i="1"/>
  <c r="J157" i="1"/>
  <c r="J150" i="1"/>
  <c r="J143" i="1"/>
  <c r="J136" i="1"/>
  <c r="J129" i="1"/>
  <c r="J122" i="1"/>
  <c r="J115" i="1"/>
  <c r="J108" i="1"/>
  <c r="J101" i="1"/>
  <c r="J94" i="1"/>
  <c r="J87" i="1"/>
  <c r="J80" i="1"/>
  <c r="J73" i="1"/>
  <c r="J66" i="1"/>
  <c r="J59" i="1"/>
  <c r="J52" i="1"/>
  <c r="J45" i="1"/>
  <c r="J38" i="1"/>
  <c r="J31" i="1"/>
  <c r="J24" i="1"/>
  <c r="J10" i="1"/>
  <c r="J17" i="1"/>
  <c r="F367" i="1" l="1"/>
  <c r="F360" i="1"/>
  <c r="F353" i="1"/>
  <c r="F346" i="1"/>
  <c r="F339" i="1"/>
  <c r="F332" i="1"/>
  <c r="F325" i="1"/>
  <c r="F318" i="1"/>
  <c r="F311" i="1"/>
  <c r="F304" i="1"/>
  <c r="F297" i="1"/>
  <c r="F290" i="1"/>
  <c r="F283" i="1"/>
  <c r="F276" i="1"/>
  <c r="F269" i="1"/>
  <c r="F262" i="1"/>
  <c r="F255" i="1"/>
  <c r="F248" i="1"/>
  <c r="F241" i="1"/>
  <c r="F234" i="1"/>
  <c r="F227" i="1"/>
  <c r="F220" i="1"/>
  <c r="F213" i="1"/>
  <c r="F206" i="1"/>
  <c r="F199" i="1"/>
  <c r="F192" i="1"/>
  <c r="F185" i="1"/>
  <c r="F178" i="1"/>
  <c r="F171" i="1"/>
  <c r="F164" i="1"/>
  <c r="F157" i="1"/>
  <c r="F150" i="1"/>
  <c r="F143" i="1"/>
  <c r="F136" i="1"/>
  <c r="F129" i="1"/>
  <c r="F122" i="1"/>
  <c r="F115" i="1"/>
  <c r="F108" i="1"/>
  <c r="F101" i="1"/>
  <c r="F94" i="1"/>
  <c r="F87" i="1"/>
  <c r="F80" i="1"/>
  <c r="F73" i="1"/>
  <c r="F66" i="1"/>
  <c r="F59" i="1"/>
  <c r="F52" i="1"/>
  <c r="F45" i="1"/>
  <c r="F38" i="1"/>
  <c r="F31" i="1"/>
  <c r="F24" i="1"/>
  <c r="F17" i="1"/>
  <c r="F10" i="1"/>
  <c r="F374" i="1"/>
  <c r="F379" i="1"/>
  <c r="C7" i="3"/>
  <c r="C8" i="3"/>
  <c r="K8" i="3" l="1"/>
  <c r="C379" i="1"/>
  <c r="C6" i="3"/>
  <c r="I24" i="1" l="1"/>
  <c r="I52" i="1"/>
  <c r="I192" i="1"/>
  <c r="I206" i="1"/>
  <c r="I220" i="1"/>
  <c r="I199" i="1"/>
  <c r="I213" i="1"/>
  <c r="I31" i="1"/>
  <c r="I45" i="1"/>
  <c r="I129" i="1"/>
  <c r="B1" i="1"/>
  <c r="I17" i="1" l="1"/>
  <c r="M1" i="2"/>
  <c r="M2" i="2"/>
  <c r="D1" i="1"/>
  <c r="I10" i="1" l="1"/>
  <c r="I178" i="1"/>
  <c r="I346" i="1"/>
  <c r="I339" i="1"/>
  <c r="I150" i="1"/>
  <c r="I248" i="1"/>
  <c r="I304" i="1"/>
  <c r="I353" i="1"/>
  <c r="I227" i="1"/>
  <c r="I283" i="1"/>
  <c r="I115" i="1"/>
  <c r="I185" i="1"/>
  <c r="I269" i="1"/>
  <c r="I325" i="1"/>
  <c r="I360" i="1"/>
  <c r="I143" i="1"/>
  <c r="I171" i="1"/>
  <c r="I241" i="1"/>
  <c r="I262" i="1"/>
  <c r="I297" i="1"/>
  <c r="I318" i="1"/>
  <c r="I374" i="1"/>
  <c r="I157" i="1"/>
  <c r="I234" i="1"/>
  <c r="I290" i="1"/>
  <c r="I38" i="1"/>
  <c r="I94" i="1"/>
  <c r="I136" i="1"/>
  <c r="I164" i="1"/>
  <c r="I255" i="1"/>
  <c r="I276" i="1"/>
  <c r="I311" i="1"/>
  <c r="I332" i="1"/>
  <c r="I367" i="1"/>
  <c r="I66" i="1"/>
  <c r="I73" i="1"/>
  <c r="I101" i="1"/>
  <c r="I122" i="1"/>
  <c r="I80" i="1"/>
  <c r="I108" i="1"/>
  <c r="I59" i="1"/>
  <c r="I87" i="1"/>
  <c r="I4" i="2"/>
  <c r="O16" i="1"/>
  <c r="O15" i="1"/>
  <c r="O14" i="1"/>
  <c r="O13" i="1"/>
  <c r="O12" i="1"/>
  <c r="O8" i="1"/>
  <c r="O7" i="1"/>
  <c r="O5" i="1"/>
  <c r="O11" i="1" s="1"/>
  <c r="O4" i="1"/>
  <c r="H379" i="1" l="1"/>
  <c r="D379" i="1" s="1"/>
  <c r="D8" i="2"/>
  <c r="D383" i="1" s="1"/>
  <c r="J379" i="1"/>
  <c r="O6" i="1"/>
  <c r="O10" i="1"/>
  <c r="O9" i="1"/>
  <c r="D378" i="1" l="1"/>
  <c r="C383" i="1"/>
  <c r="A4" i="1" l="1"/>
  <c r="C4" i="1"/>
  <c r="A5" i="1" l="1"/>
  <c r="A6" i="1" s="1"/>
  <c r="A7" i="1" s="1"/>
  <c r="A8" i="1" s="1"/>
  <c r="A9" i="1" s="1"/>
  <c r="A10" i="1" s="1"/>
  <c r="A11" i="1" s="1"/>
  <c r="K4" i="1"/>
  <c r="C5" i="1"/>
  <c r="B4" i="1"/>
  <c r="A12" i="1" l="1"/>
  <c r="K11" i="1"/>
  <c r="C6" i="1"/>
  <c r="B5" i="1"/>
  <c r="A13" i="1" l="1"/>
  <c r="C7" i="1"/>
  <c r="B6" i="1"/>
  <c r="C8" i="1" l="1"/>
  <c r="A14" i="1"/>
  <c r="B7" i="1"/>
  <c r="M14" i="2"/>
  <c r="M13" i="2"/>
  <c r="M12" i="2"/>
  <c r="M11" i="2"/>
  <c r="M10" i="2"/>
  <c r="M6" i="2"/>
  <c r="M5" i="2"/>
  <c r="M3" i="2"/>
  <c r="M7" i="2" s="1"/>
  <c r="A15" i="1" l="1"/>
  <c r="C9" i="1"/>
  <c r="B8" i="1"/>
  <c r="M9" i="2"/>
  <c r="M4" i="2"/>
  <c r="M8" i="2"/>
  <c r="A16" i="1" l="1"/>
  <c r="C10" i="1"/>
  <c r="B9" i="1"/>
  <c r="A17" i="1" l="1"/>
  <c r="C11" i="1"/>
  <c r="B10" i="1"/>
  <c r="H25" i="2"/>
  <c r="I6" i="3" l="1"/>
  <c r="H7" i="3"/>
  <c r="G13" i="3"/>
  <c r="E12" i="3"/>
  <c r="E13" i="3" s="1"/>
  <c r="I7" i="3"/>
  <c r="H13" i="3"/>
  <c r="E6" i="3"/>
  <c r="I12" i="3"/>
  <c r="I13" i="3" s="1"/>
  <c r="A18" i="1"/>
  <c r="C12" i="1"/>
  <c r="B11" i="1"/>
  <c r="A19" i="1" l="1"/>
  <c r="A20" i="1" s="1"/>
  <c r="A21" i="1" s="1"/>
  <c r="A22" i="1" s="1"/>
  <c r="A23" i="1" s="1"/>
  <c r="A24" i="1" s="1"/>
  <c r="A25" i="1" s="1"/>
  <c r="K18" i="1"/>
  <c r="C13" i="1"/>
  <c r="B12" i="1"/>
  <c r="K25" i="1" l="1"/>
  <c r="A26" i="1"/>
  <c r="C14" i="1"/>
  <c r="B13" i="1"/>
  <c r="A27" i="1" l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C15" i="1"/>
  <c r="B14" i="1"/>
  <c r="K32" i="1" l="1"/>
  <c r="K39" i="1"/>
  <c r="A40" i="1"/>
  <c r="C16" i="1"/>
  <c r="B15" i="1"/>
  <c r="A41" i="1" l="1"/>
  <c r="A42" i="1" s="1"/>
  <c r="A43" i="1" s="1"/>
  <c r="A44" i="1" s="1"/>
  <c r="A45" i="1" s="1"/>
  <c r="A46" i="1" s="1"/>
  <c r="C17" i="1"/>
  <c r="B16" i="1"/>
  <c r="K46" i="1" l="1"/>
  <c r="A47" i="1"/>
  <c r="A48" i="1" s="1"/>
  <c r="A49" i="1" s="1"/>
  <c r="A50" i="1" s="1"/>
  <c r="A51" i="1" s="1"/>
  <c r="A52" i="1" s="1"/>
  <c r="A53" i="1" s="1"/>
  <c r="C18" i="1"/>
  <c r="B17" i="1"/>
  <c r="A54" i="1" l="1"/>
  <c r="A55" i="1" s="1"/>
  <c r="A56" i="1" s="1"/>
  <c r="A57" i="1" s="1"/>
  <c r="A58" i="1" s="1"/>
  <c r="A59" i="1" s="1"/>
  <c r="A60" i="1" s="1"/>
  <c r="K53" i="1"/>
  <c r="C19" i="1"/>
  <c r="B18" i="1"/>
  <c r="A61" i="1" l="1"/>
  <c r="A62" i="1" s="1"/>
  <c r="K60" i="1"/>
  <c r="C20" i="1"/>
  <c r="B19" i="1"/>
  <c r="A63" i="1" l="1"/>
  <c r="C21" i="1"/>
  <c r="B20" i="1"/>
  <c r="A64" i="1" l="1"/>
  <c r="C22" i="1"/>
  <c r="B21" i="1"/>
  <c r="A65" i="1" l="1"/>
  <c r="C23" i="1"/>
  <c r="B22" i="1"/>
  <c r="A66" i="1" l="1"/>
  <c r="C24" i="1"/>
  <c r="B23" i="1"/>
  <c r="A67" i="1" l="1"/>
  <c r="C25" i="1"/>
  <c r="B24" i="1"/>
  <c r="A68" i="1" l="1"/>
  <c r="K67" i="1"/>
  <c r="C26" i="1"/>
  <c r="B25" i="1"/>
  <c r="A69" i="1" l="1"/>
  <c r="C27" i="1"/>
  <c r="B26" i="1"/>
  <c r="A70" i="1" l="1"/>
  <c r="C28" i="1"/>
  <c r="B27" i="1"/>
  <c r="A71" i="1" l="1"/>
  <c r="C29" i="1"/>
  <c r="B28" i="1"/>
  <c r="A72" i="1" l="1"/>
  <c r="C30" i="1"/>
  <c r="B29" i="1"/>
  <c r="A73" i="1" l="1"/>
  <c r="C31" i="1"/>
  <c r="B30" i="1"/>
  <c r="A74" i="1" l="1"/>
  <c r="C32" i="1"/>
  <c r="B31" i="1"/>
  <c r="A75" i="1" l="1"/>
  <c r="K74" i="1"/>
  <c r="C33" i="1"/>
  <c r="B32" i="1"/>
  <c r="A76" i="1" l="1"/>
  <c r="C34" i="1"/>
  <c r="B33" i="1"/>
  <c r="A77" i="1" l="1"/>
  <c r="C35" i="1"/>
  <c r="B34" i="1"/>
  <c r="A78" i="1" l="1"/>
  <c r="C36" i="1"/>
  <c r="B35" i="1"/>
  <c r="A79" i="1" l="1"/>
  <c r="C37" i="1"/>
  <c r="B36" i="1"/>
  <c r="A80" i="1" l="1"/>
  <c r="C38" i="1"/>
  <c r="B37" i="1"/>
  <c r="A81" i="1" l="1"/>
  <c r="C39" i="1"/>
  <c r="B38" i="1"/>
  <c r="A82" i="1" l="1"/>
  <c r="K81" i="1"/>
  <c r="C40" i="1"/>
  <c r="B39" i="1"/>
  <c r="A83" i="1" l="1"/>
  <c r="C41" i="1"/>
  <c r="B40" i="1"/>
  <c r="A84" i="1" l="1"/>
  <c r="C42" i="1"/>
  <c r="B41" i="1"/>
  <c r="A85" i="1" l="1"/>
  <c r="C43" i="1"/>
  <c r="B42" i="1"/>
  <c r="A86" i="1" l="1"/>
  <c r="C44" i="1"/>
  <c r="B43" i="1"/>
  <c r="A87" i="1" l="1"/>
  <c r="C45" i="1"/>
  <c r="B44" i="1"/>
  <c r="A88" i="1" l="1"/>
  <c r="C46" i="1"/>
  <c r="B45" i="1"/>
  <c r="A89" i="1" l="1"/>
  <c r="K88" i="1"/>
  <c r="C47" i="1"/>
  <c r="B46" i="1"/>
  <c r="A90" i="1" l="1"/>
  <c r="C48" i="1"/>
  <c r="B47" i="1"/>
  <c r="A91" i="1" l="1"/>
  <c r="C49" i="1"/>
  <c r="B48" i="1"/>
  <c r="A92" i="1" l="1"/>
  <c r="C50" i="1"/>
  <c r="B49" i="1"/>
  <c r="A93" i="1" l="1"/>
  <c r="C51" i="1"/>
  <c r="B50" i="1"/>
  <c r="A94" i="1" l="1"/>
  <c r="C52" i="1"/>
  <c r="B51" i="1"/>
  <c r="A95" i="1" l="1"/>
  <c r="C53" i="1"/>
  <c r="B52" i="1"/>
  <c r="A96" i="1" l="1"/>
  <c r="K95" i="1"/>
  <c r="C54" i="1"/>
  <c r="B53" i="1"/>
  <c r="A97" i="1" l="1"/>
  <c r="C55" i="1"/>
  <c r="B54" i="1"/>
  <c r="A98" i="1" l="1"/>
  <c r="C56" i="1"/>
  <c r="B55" i="1"/>
  <c r="A99" i="1" l="1"/>
  <c r="C57" i="1"/>
  <c r="B56" i="1"/>
  <c r="A100" i="1" l="1"/>
  <c r="C58" i="1"/>
  <c r="B57" i="1"/>
  <c r="A101" i="1" l="1"/>
  <c r="C59" i="1"/>
  <c r="B58" i="1"/>
  <c r="A102" i="1" l="1"/>
  <c r="C60" i="1"/>
  <c r="B59" i="1"/>
  <c r="A103" i="1" l="1"/>
  <c r="K102" i="1"/>
  <c r="C61" i="1"/>
  <c r="B60" i="1"/>
  <c r="A104" i="1" l="1"/>
  <c r="C62" i="1"/>
  <c r="B61" i="1"/>
  <c r="A105" i="1" l="1"/>
  <c r="C63" i="1"/>
  <c r="B62" i="1"/>
  <c r="A106" i="1" l="1"/>
  <c r="C64" i="1"/>
  <c r="B63" i="1"/>
  <c r="A107" i="1" l="1"/>
  <c r="C65" i="1"/>
  <c r="B64" i="1"/>
  <c r="A108" i="1" l="1"/>
  <c r="C66" i="1"/>
  <c r="B65" i="1"/>
  <c r="A109" i="1" l="1"/>
  <c r="C67" i="1"/>
  <c r="B66" i="1"/>
  <c r="A110" i="1" l="1"/>
  <c r="K109" i="1"/>
  <c r="C68" i="1"/>
  <c r="B67" i="1"/>
  <c r="A111" i="1" l="1"/>
  <c r="C69" i="1"/>
  <c r="B68" i="1"/>
  <c r="A112" i="1" l="1"/>
  <c r="C70" i="1"/>
  <c r="B69" i="1"/>
  <c r="A113" i="1" l="1"/>
  <c r="C71" i="1"/>
  <c r="B70" i="1"/>
  <c r="A114" i="1" l="1"/>
  <c r="C72" i="1"/>
  <c r="B71" i="1"/>
  <c r="A115" i="1" l="1"/>
  <c r="C73" i="1"/>
  <c r="B72" i="1"/>
  <c r="A116" i="1" l="1"/>
  <c r="C74" i="1"/>
  <c r="B73" i="1"/>
  <c r="A117" i="1" l="1"/>
  <c r="K116" i="1"/>
  <c r="C75" i="1"/>
  <c r="B74" i="1"/>
  <c r="A118" i="1" l="1"/>
  <c r="C76" i="1"/>
  <c r="B75" i="1"/>
  <c r="A119" i="1" l="1"/>
  <c r="C77" i="1"/>
  <c r="B76" i="1"/>
  <c r="A120" i="1" l="1"/>
  <c r="C78" i="1"/>
  <c r="B77" i="1"/>
  <c r="A121" i="1" l="1"/>
  <c r="C79" i="1"/>
  <c r="B78" i="1"/>
  <c r="A122" i="1" l="1"/>
  <c r="C80" i="1"/>
  <c r="B79" i="1"/>
  <c r="A123" i="1" l="1"/>
  <c r="C81" i="1"/>
  <c r="B80" i="1"/>
  <c r="A124" i="1" l="1"/>
  <c r="K123" i="1"/>
  <c r="C82" i="1"/>
  <c r="B81" i="1"/>
  <c r="A125" i="1" l="1"/>
  <c r="C83" i="1"/>
  <c r="B82" i="1"/>
  <c r="A126" i="1" l="1"/>
  <c r="C84" i="1"/>
  <c r="B83" i="1"/>
  <c r="A127" i="1" l="1"/>
  <c r="C85" i="1"/>
  <c r="B84" i="1"/>
  <c r="A128" i="1" l="1"/>
  <c r="C86" i="1"/>
  <c r="B85" i="1"/>
  <c r="A129" i="1" l="1"/>
  <c r="C87" i="1"/>
  <c r="B86" i="1"/>
  <c r="A130" i="1" l="1"/>
  <c r="C88" i="1"/>
  <c r="B87" i="1"/>
  <c r="A131" i="1" l="1"/>
  <c r="K130" i="1"/>
  <c r="C89" i="1"/>
  <c r="B88" i="1"/>
  <c r="A132" i="1" l="1"/>
  <c r="C90" i="1"/>
  <c r="B89" i="1"/>
  <c r="A133" i="1" l="1"/>
  <c r="C91" i="1"/>
  <c r="B90" i="1"/>
  <c r="A134" i="1" l="1"/>
  <c r="C92" i="1"/>
  <c r="B91" i="1"/>
  <c r="A135" i="1" l="1"/>
  <c r="C93" i="1"/>
  <c r="B92" i="1"/>
  <c r="A136" i="1" l="1"/>
  <c r="C94" i="1"/>
  <c r="B93" i="1"/>
  <c r="A137" i="1" l="1"/>
  <c r="C95" i="1"/>
  <c r="B94" i="1"/>
  <c r="A138" i="1" l="1"/>
  <c r="K137" i="1"/>
  <c r="C96" i="1"/>
  <c r="B95" i="1"/>
  <c r="A139" i="1" l="1"/>
  <c r="C97" i="1"/>
  <c r="B96" i="1"/>
  <c r="A140" i="1" l="1"/>
  <c r="C98" i="1"/>
  <c r="B97" i="1"/>
  <c r="A141" i="1" l="1"/>
  <c r="C99" i="1"/>
  <c r="B98" i="1"/>
  <c r="A142" i="1" l="1"/>
  <c r="C100" i="1"/>
  <c r="B99" i="1"/>
  <c r="A143" i="1" l="1"/>
  <c r="C101" i="1"/>
  <c r="B100" i="1"/>
  <c r="A144" i="1" l="1"/>
  <c r="C102" i="1"/>
  <c r="B101" i="1"/>
  <c r="A145" i="1" l="1"/>
  <c r="K144" i="1"/>
  <c r="C103" i="1"/>
  <c r="B102" i="1"/>
  <c r="A146" i="1" l="1"/>
  <c r="C104" i="1"/>
  <c r="B103" i="1"/>
  <c r="A147" i="1" l="1"/>
  <c r="C105" i="1"/>
  <c r="B104" i="1"/>
  <c r="A148" i="1" l="1"/>
  <c r="C106" i="1"/>
  <c r="B105" i="1"/>
  <c r="A149" i="1" l="1"/>
  <c r="C107" i="1"/>
  <c r="B106" i="1"/>
  <c r="A150" i="1" l="1"/>
  <c r="C108" i="1"/>
  <c r="B107" i="1"/>
  <c r="A151" i="1" l="1"/>
  <c r="C109" i="1"/>
  <c r="B108" i="1"/>
  <c r="A152" i="1" l="1"/>
  <c r="K151" i="1"/>
  <c r="C110" i="1"/>
  <c r="B109" i="1"/>
  <c r="A153" i="1" l="1"/>
  <c r="C111" i="1"/>
  <c r="B110" i="1"/>
  <c r="A154" i="1" l="1"/>
  <c r="C112" i="1"/>
  <c r="B111" i="1"/>
  <c r="A155" i="1" l="1"/>
  <c r="C113" i="1"/>
  <c r="B112" i="1"/>
  <c r="A156" i="1" l="1"/>
  <c r="C114" i="1"/>
  <c r="B113" i="1"/>
  <c r="A157" i="1" l="1"/>
  <c r="C115" i="1"/>
  <c r="B114" i="1"/>
  <c r="A158" i="1" l="1"/>
  <c r="C116" i="1"/>
  <c r="B115" i="1"/>
  <c r="A159" i="1" l="1"/>
  <c r="K158" i="1"/>
  <c r="C117" i="1"/>
  <c r="B116" i="1"/>
  <c r="A160" i="1" l="1"/>
  <c r="C118" i="1"/>
  <c r="B117" i="1"/>
  <c r="A161" i="1" l="1"/>
  <c r="C119" i="1"/>
  <c r="B118" i="1"/>
  <c r="A162" i="1" l="1"/>
  <c r="C120" i="1"/>
  <c r="B119" i="1"/>
  <c r="A163" i="1" l="1"/>
  <c r="C121" i="1"/>
  <c r="B120" i="1"/>
  <c r="A164" i="1" l="1"/>
  <c r="C122" i="1"/>
  <c r="B121" i="1"/>
  <c r="A165" i="1" l="1"/>
  <c r="C123" i="1"/>
  <c r="B122" i="1"/>
  <c r="A166" i="1" l="1"/>
  <c r="K165" i="1"/>
  <c r="C124" i="1"/>
  <c r="B123" i="1"/>
  <c r="A167" i="1" l="1"/>
  <c r="C125" i="1"/>
  <c r="B124" i="1"/>
  <c r="A168" i="1" l="1"/>
  <c r="C126" i="1"/>
  <c r="B125" i="1"/>
  <c r="A169" i="1" l="1"/>
  <c r="C127" i="1"/>
  <c r="B126" i="1"/>
  <c r="A170" i="1" l="1"/>
  <c r="C128" i="1"/>
  <c r="B127" i="1"/>
  <c r="A171" i="1" l="1"/>
  <c r="C129" i="1"/>
  <c r="B128" i="1"/>
  <c r="A172" i="1" l="1"/>
  <c r="C130" i="1"/>
  <c r="B129" i="1"/>
  <c r="A173" i="1" l="1"/>
  <c r="K172" i="1"/>
  <c r="C131" i="1"/>
  <c r="B130" i="1"/>
  <c r="A174" i="1" l="1"/>
  <c r="C132" i="1"/>
  <c r="B131" i="1"/>
  <c r="A175" i="1" l="1"/>
  <c r="C133" i="1"/>
  <c r="B132" i="1"/>
  <c r="A176" i="1" l="1"/>
  <c r="C134" i="1"/>
  <c r="B133" i="1"/>
  <c r="A177" i="1" l="1"/>
  <c r="C135" i="1"/>
  <c r="B134" i="1"/>
  <c r="A178" i="1" l="1"/>
  <c r="C136" i="1"/>
  <c r="B135" i="1"/>
  <c r="A179" i="1" l="1"/>
  <c r="C137" i="1"/>
  <c r="B136" i="1"/>
  <c r="A180" i="1" l="1"/>
  <c r="K179" i="1"/>
  <c r="C138" i="1"/>
  <c r="B137" i="1"/>
  <c r="A181" i="1" l="1"/>
  <c r="C139" i="1"/>
  <c r="B138" i="1"/>
  <c r="A182" i="1" l="1"/>
  <c r="C140" i="1"/>
  <c r="B139" i="1"/>
  <c r="A183" i="1" l="1"/>
  <c r="C141" i="1"/>
  <c r="B140" i="1"/>
  <c r="A184" i="1" l="1"/>
  <c r="C142" i="1"/>
  <c r="B141" i="1"/>
  <c r="A185" i="1" l="1"/>
  <c r="C143" i="1"/>
  <c r="B142" i="1"/>
  <c r="A186" i="1" l="1"/>
  <c r="C144" i="1"/>
  <c r="B143" i="1"/>
  <c r="A187" i="1" l="1"/>
  <c r="K186" i="1"/>
  <c r="C145" i="1"/>
  <c r="B144" i="1"/>
  <c r="A188" i="1" l="1"/>
  <c r="C146" i="1"/>
  <c r="B145" i="1"/>
  <c r="A189" i="1" l="1"/>
  <c r="C147" i="1"/>
  <c r="B146" i="1"/>
  <c r="A190" i="1" l="1"/>
  <c r="C148" i="1"/>
  <c r="B147" i="1"/>
  <c r="A191" i="1" l="1"/>
  <c r="C149" i="1"/>
  <c r="B148" i="1"/>
  <c r="A192" i="1" l="1"/>
  <c r="C150" i="1"/>
  <c r="B149" i="1"/>
  <c r="A193" i="1" l="1"/>
  <c r="C151" i="1"/>
  <c r="B150" i="1"/>
  <c r="A194" i="1" l="1"/>
  <c r="K193" i="1"/>
  <c r="C152" i="1"/>
  <c r="B151" i="1"/>
  <c r="A195" i="1" l="1"/>
  <c r="C153" i="1"/>
  <c r="B152" i="1"/>
  <c r="A196" i="1" l="1"/>
  <c r="C154" i="1"/>
  <c r="B153" i="1"/>
  <c r="A197" i="1" l="1"/>
  <c r="C155" i="1"/>
  <c r="B154" i="1"/>
  <c r="A198" i="1" l="1"/>
  <c r="C156" i="1"/>
  <c r="B155" i="1"/>
  <c r="A199" i="1" l="1"/>
  <c r="C157" i="1"/>
  <c r="B156" i="1"/>
  <c r="A200" i="1" l="1"/>
  <c r="C158" i="1"/>
  <c r="B157" i="1"/>
  <c r="A201" i="1" l="1"/>
  <c r="K200" i="1"/>
  <c r="C159" i="1"/>
  <c r="B158" i="1"/>
  <c r="A202" i="1" l="1"/>
  <c r="C160" i="1"/>
  <c r="B159" i="1"/>
  <c r="A203" i="1" l="1"/>
  <c r="C161" i="1"/>
  <c r="B160" i="1"/>
  <c r="A204" i="1" l="1"/>
  <c r="C162" i="1"/>
  <c r="B161" i="1"/>
  <c r="A205" i="1" l="1"/>
  <c r="C163" i="1"/>
  <c r="B162" i="1"/>
  <c r="A206" i="1" l="1"/>
  <c r="C164" i="1"/>
  <c r="B163" i="1"/>
  <c r="A207" i="1" l="1"/>
  <c r="C165" i="1"/>
  <c r="B164" i="1"/>
  <c r="A208" i="1" l="1"/>
  <c r="K207" i="1"/>
  <c r="C166" i="1"/>
  <c r="B165" i="1"/>
  <c r="A209" i="1" l="1"/>
  <c r="C167" i="1"/>
  <c r="B166" i="1"/>
  <c r="A210" i="1" l="1"/>
  <c r="C168" i="1"/>
  <c r="B167" i="1"/>
  <c r="A211" i="1" l="1"/>
  <c r="C169" i="1"/>
  <c r="B168" i="1"/>
  <c r="A212" i="1" l="1"/>
  <c r="C170" i="1"/>
  <c r="B169" i="1"/>
  <c r="A213" i="1" l="1"/>
  <c r="C171" i="1"/>
  <c r="B170" i="1"/>
  <c r="A214" i="1" l="1"/>
  <c r="C172" i="1"/>
  <c r="B171" i="1"/>
  <c r="A215" i="1" l="1"/>
  <c r="K214" i="1"/>
  <c r="C173" i="1"/>
  <c r="B172" i="1"/>
  <c r="A216" i="1" l="1"/>
  <c r="C174" i="1"/>
  <c r="B173" i="1"/>
  <c r="A217" i="1" l="1"/>
  <c r="C175" i="1"/>
  <c r="B174" i="1"/>
  <c r="A218" i="1" l="1"/>
  <c r="C176" i="1"/>
  <c r="B175" i="1"/>
  <c r="A219" i="1" l="1"/>
  <c r="C177" i="1"/>
  <c r="B176" i="1"/>
  <c r="A220" i="1" l="1"/>
  <c r="C178" i="1"/>
  <c r="B177" i="1"/>
  <c r="A221" i="1" l="1"/>
  <c r="C179" i="1"/>
  <c r="B178" i="1"/>
  <c r="A222" i="1" l="1"/>
  <c r="K221" i="1"/>
  <c r="C180" i="1"/>
  <c r="B179" i="1"/>
  <c r="A223" i="1" l="1"/>
  <c r="C181" i="1"/>
  <c r="B180" i="1"/>
  <c r="A224" i="1" l="1"/>
  <c r="C182" i="1"/>
  <c r="B181" i="1"/>
  <c r="A225" i="1" l="1"/>
  <c r="C183" i="1"/>
  <c r="B182" i="1"/>
  <c r="A226" i="1" l="1"/>
  <c r="C184" i="1"/>
  <c r="B183" i="1"/>
  <c r="A227" i="1" l="1"/>
  <c r="C185" i="1"/>
  <c r="B184" i="1"/>
  <c r="A228" i="1" l="1"/>
  <c r="C186" i="1"/>
  <c r="B185" i="1"/>
  <c r="A229" i="1" l="1"/>
  <c r="K228" i="1"/>
  <c r="C187" i="1"/>
  <c r="B186" i="1"/>
  <c r="A230" i="1" l="1"/>
  <c r="C188" i="1"/>
  <c r="B187" i="1"/>
  <c r="A231" i="1" l="1"/>
  <c r="C189" i="1"/>
  <c r="B188" i="1"/>
  <c r="A232" i="1" l="1"/>
  <c r="C190" i="1"/>
  <c r="B189" i="1"/>
  <c r="A233" i="1" l="1"/>
  <c r="C191" i="1"/>
  <c r="B190" i="1"/>
  <c r="A234" i="1" l="1"/>
  <c r="C192" i="1"/>
  <c r="B191" i="1"/>
  <c r="A235" i="1" l="1"/>
  <c r="C193" i="1"/>
  <c r="B192" i="1"/>
  <c r="A236" i="1" l="1"/>
  <c r="K235" i="1"/>
  <c r="C194" i="1"/>
  <c r="B193" i="1"/>
  <c r="A237" i="1" l="1"/>
  <c r="C195" i="1"/>
  <c r="B194" i="1"/>
  <c r="A238" i="1" l="1"/>
  <c r="C196" i="1"/>
  <c r="B195" i="1"/>
  <c r="A239" i="1" l="1"/>
  <c r="C197" i="1"/>
  <c r="B196" i="1"/>
  <c r="A240" i="1" l="1"/>
  <c r="C198" i="1"/>
  <c r="B197" i="1"/>
  <c r="A241" i="1" l="1"/>
  <c r="C199" i="1"/>
  <c r="B198" i="1"/>
  <c r="A242" i="1" l="1"/>
  <c r="C200" i="1"/>
  <c r="B199" i="1"/>
  <c r="A243" i="1" l="1"/>
  <c r="K242" i="1"/>
  <c r="C201" i="1"/>
  <c r="B200" i="1"/>
  <c r="A244" i="1" l="1"/>
  <c r="C202" i="1"/>
  <c r="B201" i="1"/>
  <c r="A245" i="1" l="1"/>
  <c r="C203" i="1"/>
  <c r="B202" i="1"/>
  <c r="J7" i="3" l="1"/>
  <c r="A246" i="1"/>
  <c r="C204" i="1"/>
  <c r="B203" i="1"/>
  <c r="A247" i="1" l="1"/>
  <c r="C205" i="1"/>
  <c r="B204" i="1"/>
  <c r="A248" i="1" l="1"/>
  <c r="C206" i="1"/>
  <c r="B205" i="1"/>
  <c r="A249" i="1" l="1"/>
  <c r="C207" i="1"/>
  <c r="B206" i="1"/>
  <c r="A250" i="1" l="1"/>
  <c r="K249" i="1"/>
  <c r="C208" i="1"/>
  <c r="B207" i="1"/>
  <c r="A251" i="1" l="1"/>
  <c r="C209" i="1"/>
  <c r="B208" i="1"/>
  <c r="A252" i="1" l="1"/>
  <c r="C210" i="1"/>
  <c r="B209" i="1"/>
  <c r="A253" i="1" l="1"/>
  <c r="C211" i="1"/>
  <c r="B210" i="1"/>
  <c r="A254" i="1" l="1"/>
  <c r="C212" i="1"/>
  <c r="B211" i="1"/>
  <c r="A255" i="1" l="1"/>
  <c r="C213" i="1"/>
  <c r="B212" i="1"/>
  <c r="A256" i="1" l="1"/>
  <c r="C214" i="1"/>
  <c r="B213" i="1"/>
  <c r="A257" i="1" l="1"/>
  <c r="K256" i="1"/>
  <c r="C215" i="1"/>
  <c r="B214" i="1"/>
  <c r="A258" i="1" l="1"/>
  <c r="C216" i="1"/>
  <c r="B215" i="1"/>
  <c r="A259" i="1" l="1"/>
  <c r="C217" i="1"/>
  <c r="B216" i="1"/>
  <c r="A260" i="1" l="1"/>
  <c r="C218" i="1"/>
  <c r="B217" i="1"/>
  <c r="A261" i="1" l="1"/>
  <c r="C219" i="1"/>
  <c r="B218" i="1"/>
  <c r="A262" i="1" l="1"/>
  <c r="C220" i="1"/>
  <c r="B219" i="1"/>
  <c r="A263" i="1" l="1"/>
  <c r="C221" i="1"/>
  <c r="B220" i="1"/>
  <c r="A264" i="1" l="1"/>
  <c r="K263" i="1"/>
  <c r="C222" i="1"/>
  <c r="B221" i="1"/>
  <c r="A265" i="1" l="1"/>
  <c r="C223" i="1"/>
  <c r="B222" i="1"/>
  <c r="A266" i="1" l="1"/>
  <c r="C224" i="1"/>
  <c r="B223" i="1"/>
  <c r="A267" i="1" l="1"/>
  <c r="C225" i="1"/>
  <c r="B224" i="1"/>
  <c r="A268" i="1" l="1"/>
  <c r="C226" i="1"/>
  <c r="B225" i="1"/>
  <c r="A269" i="1" l="1"/>
  <c r="C227" i="1"/>
  <c r="B226" i="1"/>
  <c r="A270" i="1" l="1"/>
  <c r="C228" i="1"/>
  <c r="B227" i="1"/>
  <c r="A271" i="1" l="1"/>
  <c r="K270" i="1"/>
  <c r="C229" i="1"/>
  <c r="B228" i="1"/>
  <c r="A272" i="1" l="1"/>
  <c r="C230" i="1"/>
  <c r="B229" i="1"/>
  <c r="A273" i="1" l="1"/>
  <c r="C231" i="1"/>
  <c r="B230" i="1"/>
  <c r="A274" i="1" l="1"/>
  <c r="C232" i="1"/>
  <c r="B231" i="1"/>
  <c r="A275" i="1" l="1"/>
  <c r="C233" i="1"/>
  <c r="B232" i="1"/>
  <c r="A276" i="1" l="1"/>
  <c r="C234" i="1"/>
  <c r="B233" i="1"/>
  <c r="A277" i="1" l="1"/>
  <c r="C235" i="1"/>
  <c r="B234" i="1"/>
  <c r="A278" i="1" l="1"/>
  <c r="K277" i="1"/>
  <c r="C236" i="1"/>
  <c r="B235" i="1"/>
  <c r="A279" i="1" l="1"/>
  <c r="C237" i="1"/>
  <c r="B236" i="1"/>
  <c r="A280" i="1" l="1"/>
  <c r="C238" i="1"/>
  <c r="B237" i="1"/>
  <c r="A281" i="1" l="1"/>
  <c r="C239" i="1"/>
  <c r="B238" i="1"/>
  <c r="A282" i="1" l="1"/>
  <c r="C240" i="1"/>
  <c r="B239" i="1"/>
  <c r="A283" i="1" l="1"/>
  <c r="C241" i="1"/>
  <c r="B240" i="1"/>
  <c r="A284" i="1" l="1"/>
  <c r="C242" i="1"/>
  <c r="B241" i="1"/>
  <c r="A285" i="1" l="1"/>
  <c r="K284" i="1"/>
  <c r="C243" i="1"/>
  <c r="B242" i="1"/>
  <c r="A286" i="1" l="1"/>
  <c r="C244" i="1"/>
  <c r="B243" i="1"/>
  <c r="A287" i="1" l="1"/>
  <c r="C245" i="1"/>
  <c r="B244" i="1"/>
  <c r="A288" i="1" l="1"/>
  <c r="C246" i="1"/>
  <c r="B245" i="1"/>
  <c r="A289" i="1" l="1"/>
  <c r="C247" i="1"/>
  <c r="B246" i="1"/>
  <c r="A290" i="1" l="1"/>
  <c r="C248" i="1"/>
  <c r="B247" i="1"/>
  <c r="A291" i="1" l="1"/>
  <c r="C249" i="1"/>
  <c r="B248" i="1"/>
  <c r="A292" i="1" l="1"/>
  <c r="K291" i="1"/>
  <c r="C250" i="1"/>
  <c r="B249" i="1"/>
  <c r="A293" i="1" l="1"/>
  <c r="C251" i="1"/>
  <c r="B250" i="1"/>
  <c r="A294" i="1" l="1"/>
  <c r="C252" i="1"/>
  <c r="B251" i="1"/>
  <c r="A295" i="1" l="1"/>
  <c r="C253" i="1"/>
  <c r="B252" i="1"/>
  <c r="A296" i="1" l="1"/>
  <c r="C254" i="1"/>
  <c r="B253" i="1"/>
  <c r="A297" i="1" l="1"/>
  <c r="C255" i="1"/>
  <c r="B254" i="1"/>
  <c r="A298" i="1" l="1"/>
  <c r="C256" i="1"/>
  <c r="B255" i="1"/>
  <c r="A299" i="1" l="1"/>
  <c r="K298" i="1"/>
  <c r="C257" i="1"/>
  <c r="B256" i="1"/>
  <c r="A300" i="1" l="1"/>
  <c r="C258" i="1"/>
  <c r="B257" i="1"/>
  <c r="A301" i="1" l="1"/>
  <c r="C259" i="1"/>
  <c r="B258" i="1"/>
  <c r="A302" i="1" l="1"/>
  <c r="C260" i="1"/>
  <c r="B259" i="1"/>
  <c r="A303" i="1" l="1"/>
  <c r="C261" i="1"/>
  <c r="B260" i="1"/>
  <c r="A304" i="1" l="1"/>
  <c r="C262" i="1"/>
  <c r="B261" i="1"/>
  <c r="A305" i="1" l="1"/>
  <c r="C263" i="1"/>
  <c r="B262" i="1"/>
  <c r="A306" i="1" l="1"/>
  <c r="K305" i="1"/>
  <c r="C264" i="1"/>
  <c r="B263" i="1"/>
  <c r="A307" i="1" l="1"/>
  <c r="C265" i="1"/>
  <c r="B264" i="1"/>
  <c r="A308" i="1" l="1"/>
  <c r="C266" i="1"/>
  <c r="B265" i="1"/>
  <c r="A309" i="1" l="1"/>
  <c r="C267" i="1"/>
  <c r="B266" i="1"/>
  <c r="A310" i="1" l="1"/>
  <c r="C268" i="1"/>
  <c r="B267" i="1"/>
  <c r="A311" i="1" l="1"/>
  <c r="C269" i="1"/>
  <c r="B268" i="1"/>
  <c r="A312" i="1" l="1"/>
  <c r="C270" i="1"/>
  <c r="B269" i="1"/>
  <c r="A313" i="1" l="1"/>
  <c r="K312" i="1"/>
  <c r="C271" i="1"/>
  <c r="B270" i="1"/>
  <c r="A314" i="1" l="1"/>
  <c r="C272" i="1"/>
  <c r="B271" i="1"/>
  <c r="A315" i="1" l="1"/>
  <c r="C273" i="1"/>
  <c r="B272" i="1"/>
  <c r="A316" i="1" l="1"/>
  <c r="C274" i="1"/>
  <c r="B273" i="1"/>
  <c r="A317" i="1" l="1"/>
  <c r="C275" i="1"/>
  <c r="B274" i="1"/>
  <c r="A318" i="1" l="1"/>
  <c r="C276" i="1"/>
  <c r="B275" i="1"/>
  <c r="A319" i="1" l="1"/>
  <c r="C277" i="1"/>
  <c r="B276" i="1"/>
  <c r="A320" i="1" l="1"/>
  <c r="K319" i="1"/>
  <c r="C278" i="1"/>
  <c r="B277" i="1"/>
  <c r="A321" i="1" l="1"/>
  <c r="C279" i="1"/>
  <c r="B278" i="1"/>
  <c r="A322" i="1" l="1"/>
  <c r="C280" i="1"/>
  <c r="B279" i="1"/>
  <c r="K12" i="3" l="1"/>
  <c r="K13" i="3" s="1"/>
  <c r="A323" i="1"/>
  <c r="C281" i="1"/>
  <c r="K7" i="3" s="1"/>
  <c r="B280" i="1"/>
  <c r="K6" i="3" l="1"/>
  <c r="A324" i="1"/>
  <c r="C282" i="1"/>
  <c r="B281" i="1"/>
  <c r="A325" i="1" l="1"/>
  <c r="C283" i="1"/>
  <c r="B282" i="1"/>
  <c r="A326" i="1" l="1"/>
  <c r="C284" i="1"/>
  <c r="B283" i="1"/>
  <c r="A327" i="1" l="1"/>
  <c r="K326" i="1"/>
  <c r="C285" i="1"/>
  <c r="B284" i="1"/>
  <c r="A328" i="1" l="1"/>
  <c r="C286" i="1"/>
  <c r="B285" i="1"/>
  <c r="A329" i="1" l="1"/>
  <c r="C287" i="1"/>
  <c r="B286" i="1"/>
  <c r="A330" i="1" l="1"/>
  <c r="C288" i="1"/>
  <c r="B287" i="1"/>
  <c r="A331" i="1" l="1"/>
  <c r="C289" i="1"/>
  <c r="B288" i="1"/>
  <c r="A332" i="1" l="1"/>
  <c r="C290" i="1"/>
  <c r="B289" i="1"/>
  <c r="A333" i="1" l="1"/>
  <c r="C291" i="1"/>
  <c r="B290" i="1"/>
  <c r="A334" i="1" l="1"/>
  <c r="K333" i="1"/>
  <c r="C292" i="1"/>
  <c r="B291" i="1"/>
  <c r="A335" i="1" l="1"/>
  <c r="C293" i="1"/>
  <c r="B292" i="1"/>
  <c r="A336" i="1" l="1"/>
  <c r="C294" i="1"/>
  <c r="B293" i="1"/>
  <c r="A337" i="1" l="1"/>
  <c r="C295" i="1"/>
  <c r="B294" i="1"/>
  <c r="A338" i="1" l="1"/>
  <c r="C296" i="1"/>
  <c r="B295" i="1"/>
  <c r="A339" i="1" l="1"/>
  <c r="C297" i="1"/>
  <c r="B296" i="1"/>
  <c r="A340" i="1" l="1"/>
  <c r="C298" i="1"/>
  <c r="B297" i="1"/>
  <c r="A341" i="1" l="1"/>
  <c r="K340" i="1"/>
  <c r="C299" i="1"/>
  <c r="B298" i="1"/>
  <c r="A342" i="1" l="1"/>
  <c r="C300" i="1"/>
  <c r="B299" i="1"/>
  <c r="A343" i="1" l="1"/>
  <c r="C301" i="1"/>
  <c r="B300" i="1"/>
  <c r="A344" i="1" l="1"/>
  <c r="C302" i="1"/>
  <c r="B301" i="1"/>
  <c r="A345" i="1" l="1"/>
  <c r="C303" i="1"/>
  <c r="B302" i="1"/>
  <c r="A346" i="1" l="1"/>
  <c r="C304" i="1"/>
  <c r="B303" i="1"/>
  <c r="A347" i="1" l="1"/>
  <c r="C305" i="1"/>
  <c r="B304" i="1"/>
  <c r="A348" i="1" l="1"/>
  <c r="K347" i="1"/>
  <c r="C306" i="1"/>
  <c r="B305" i="1"/>
  <c r="A349" i="1" l="1"/>
  <c r="C307" i="1"/>
  <c r="B306" i="1"/>
  <c r="A350" i="1" l="1"/>
  <c r="C308" i="1"/>
  <c r="B307" i="1"/>
  <c r="A351" i="1" l="1"/>
  <c r="C309" i="1"/>
  <c r="B308" i="1"/>
  <c r="A352" i="1" l="1"/>
  <c r="C310" i="1"/>
  <c r="B309" i="1"/>
  <c r="A353" i="1" l="1"/>
  <c r="C311" i="1"/>
  <c r="B310" i="1"/>
  <c r="A354" i="1" l="1"/>
  <c r="C312" i="1"/>
  <c r="B311" i="1"/>
  <c r="A355" i="1" l="1"/>
  <c r="K354" i="1"/>
  <c r="C313" i="1"/>
  <c r="B312" i="1"/>
  <c r="A356" i="1" l="1"/>
  <c r="C314" i="1"/>
  <c r="B313" i="1"/>
  <c r="A357" i="1" l="1"/>
  <c r="C315" i="1"/>
  <c r="B314" i="1"/>
  <c r="A358" i="1" l="1"/>
  <c r="C316" i="1"/>
  <c r="B315" i="1"/>
  <c r="A359" i="1" l="1"/>
  <c r="C317" i="1"/>
  <c r="B316" i="1"/>
  <c r="A360" i="1" l="1"/>
  <c r="C318" i="1"/>
  <c r="B317" i="1"/>
  <c r="A361" i="1" l="1"/>
  <c r="C319" i="1"/>
  <c r="B318" i="1"/>
  <c r="A362" i="1" l="1"/>
  <c r="K361" i="1"/>
  <c r="C320" i="1"/>
  <c r="B319" i="1"/>
  <c r="A363" i="1" l="1"/>
  <c r="C321" i="1"/>
  <c r="B320" i="1"/>
  <c r="A364" i="1" l="1"/>
  <c r="C322" i="1"/>
  <c r="B321" i="1"/>
  <c r="A365" i="1" l="1"/>
  <c r="A366" i="1" s="1"/>
  <c r="A367" i="1" s="1"/>
  <c r="A368" i="1" s="1"/>
  <c r="C323" i="1"/>
  <c r="B322" i="1"/>
  <c r="A369" i="1" l="1"/>
  <c r="A370" i="1" s="1"/>
  <c r="A371" i="1" s="1"/>
  <c r="A372" i="1" s="1"/>
  <c r="A373" i="1" s="1"/>
  <c r="A374" i="1" s="1"/>
  <c r="K368" i="1"/>
  <c r="C324" i="1"/>
  <c r="B323" i="1"/>
  <c r="D14" i="3" l="1"/>
  <c r="C12" i="3"/>
  <c r="C325" i="1"/>
  <c r="B324" i="1"/>
  <c r="C326" i="1" l="1"/>
  <c r="B325" i="1"/>
  <c r="C327" i="1" l="1"/>
  <c r="B326" i="1"/>
  <c r="C328" i="1" l="1"/>
  <c r="B327" i="1"/>
  <c r="C329" i="1" l="1"/>
  <c r="B328" i="1"/>
  <c r="C330" i="1" l="1"/>
  <c r="B329" i="1"/>
  <c r="C331" i="1" l="1"/>
  <c r="B330" i="1"/>
  <c r="C332" i="1" l="1"/>
  <c r="B331" i="1"/>
  <c r="C333" i="1" l="1"/>
  <c r="B332" i="1"/>
  <c r="C334" i="1" l="1"/>
  <c r="B333" i="1"/>
  <c r="C335" i="1" l="1"/>
  <c r="B334" i="1"/>
  <c r="C336" i="1" l="1"/>
  <c r="B335" i="1"/>
  <c r="C337" i="1" l="1"/>
  <c r="B336" i="1"/>
  <c r="C338" i="1" l="1"/>
  <c r="B337" i="1"/>
  <c r="C339" i="1" l="1"/>
  <c r="B338" i="1"/>
  <c r="C340" i="1" l="1"/>
  <c r="B339" i="1"/>
  <c r="E7" i="3" l="1"/>
  <c r="C341" i="1"/>
  <c r="B340" i="1"/>
  <c r="C342" i="1" l="1"/>
  <c r="C343" i="1" s="1"/>
  <c r="C344" i="1" s="1"/>
  <c r="B341" i="1"/>
  <c r="B342" i="1" l="1"/>
  <c r="B343" i="1" l="1"/>
  <c r="C345" i="1" l="1"/>
  <c r="B344" i="1"/>
  <c r="C346" i="1" l="1"/>
  <c r="B345" i="1"/>
  <c r="C347" i="1" l="1"/>
  <c r="B346" i="1"/>
  <c r="C348" i="1" l="1"/>
  <c r="B347" i="1"/>
  <c r="C349" i="1" l="1"/>
  <c r="B348" i="1"/>
  <c r="C350" i="1" l="1"/>
  <c r="B349" i="1"/>
  <c r="C351" i="1" l="1"/>
  <c r="B350" i="1"/>
  <c r="C352" i="1" l="1"/>
  <c r="B351" i="1"/>
  <c r="C353" i="1" l="1"/>
  <c r="B352" i="1"/>
  <c r="C354" i="1" l="1"/>
  <c r="G7" i="3" s="1"/>
  <c r="B353" i="1"/>
  <c r="C355" i="1" l="1"/>
  <c r="B354" i="1"/>
  <c r="C356" i="1" l="1"/>
  <c r="B355" i="1"/>
  <c r="C357" i="1" l="1"/>
  <c r="B356" i="1"/>
  <c r="C358" i="1" l="1"/>
  <c r="B357" i="1"/>
  <c r="C359" i="1" l="1"/>
  <c r="B358" i="1"/>
  <c r="C360" i="1" l="1"/>
  <c r="B359" i="1"/>
  <c r="C361" i="1" l="1"/>
  <c r="B360" i="1"/>
  <c r="C362" i="1" l="1"/>
  <c r="B361" i="1"/>
  <c r="C363" i="1" l="1"/>
  <c r="B362" i="1"/>
  <c r="C364" i="1" l="1"/>
  <c r="B363" i="1"/>
  <c r="C365" i="1" l="1"/>
  <c r="B364" i="1"/>
  <c r="C366" i="1" l="1"/>
  <c r="B365" i="1"/>
  <c r="C367" i="1" l="1"/>
  <c r="B366" i="1"/>
  <c r="C368" i="1" l="1"/>
  <c r="B367" i="1"/>
  <c r="C369" i="1" l="1"/>
  <c r="B368" i="1"/>
  <c r="C370" i="1" l="1"/>
  <c r="B369" i="1"/>
  <c r="C371" i="1" l="1"/>
  <c r="B370" i="1"/>
  <c r="C372" i="1" l="1"/>
  <c r="B371" i="1"/>
  <c r="C373" i="1" l="1"/>
  <c r="B372" i="1"/>
  <c r="C374" i="1" l="1"/>
  <c r="B373" i="1"/>
  <c r="F12" i="3" l="1"/>
  <c r="F13" i="3" s="1"/>
  <c r="F7" i="3"/>
  <c r="F6" i="3"/>
  <c r="D6" i="3"/>
  <c r="D7" i="3"/>
  <c r="D12" i="3"/>
  <c r="D13" i="3" s="1"/>
  <c r="J12" i="3"/>
  <c r="J13" i="3" s="1"/>
  <c r="J6" i="3"/>
  <c r="B374" i="1"/>
</calcChain>
</file>

<file path=xl/sharedStrings.xml><?xml version="1.0" encoding="utf-8"?>
<sst xmlns="http://schemas.openxmlformats.org/spreadsheetml/2006/main" count="310" uniqueCount="80">
  <si>
    <t>jour</t>
  </si>
  <si>
    <t>date</t>
  </si>
  <si>
    <t>date de début</t>
  </si>
  <si>
    <t>date de fin</t>
  </si>
  <si>
    <t>planifié</t>
  </si>
  <si>
    <t>realisé</t>
  </si>
  <si>
    <t>NOM</t>
  </si>
  <si>
    <t>PRENOM</t>
  </si>
  <si>
    <t>FONCTION</t>
  </si>
  <si>
    <t xml:space="preserve">ENTREE LE </t>
  </si>
  <si>
    <t>QUOTITE</t>
  </si>
  <si>
    <t>CP</t>
  </si>
  <si>
    <t>CANC</t>
  </si>
  <si>
    <t>CT</t>
  </si>
  <si>
    <t>T1</t>
  </si>
  <si>
    <t>T2</t>
  </si>
  <si>
    <t>T3</t>
  </si>
  <si>
    <t>reliquat année N-1</t>
  </si>
  <si>
    <t>récupération majorée</t>
  </si>
  <si>
    <t>droits ouverts au 1er jour de la période de référence</t>
  </si>
  <si>
    <t>1er de l'an</t>
  </si>
  <si>
    <t>Pâques</t>
  </si>
  <si>
    <t>Lundi de Pâques</t>
  </si>
  <si>
    <t>Fete du travail</t>
  </si>
  <si>
    <t>victoire 45</t>
  </si>
  <si>
    <t>ascension</t>
  </si>
  <si>
    <t>pentecote</t>
  </si>
  <si>
    <t>lundi de pentecote</t>
  </si>
  <si>
    <t>fete nationale</t>
  </si>
  <si>
    <t>assomtion</t>
  </si>
  <si>
    <t>toussaint</t>
  </si>
  <si>
    <t>armistice 14</t>
  </si>
  <si>
    <t>noël</t>
  </si>
  <si>
    <t>saisir l'année ---&gt;</t>
  </si>
  <si>
    <t>mardi</t>
  </si>
  <si>
    <t>mercredi</t>
  </si>
  <si>
    <t>jeudi</t>
  </si>
  <si>
    <t>vendredi</t>
  </si>
  <si>
    <t>samedi</t>
  </si>
  <si>
    <t>dimanche</t>
  </si>
  <si>
    <t>total hebdo</t>
  </si>
  <si>
    <t>Heures</t>
  </si>
  <si>
    <t>Planifié</t>
  </si>
  <si>
    <t>Réalisé</t>
  </si>
  <si>
    <t>AM</t>
  </si>
  <si>
    <t>AT</t>
  </si>
  <si>
    <t>JRC</t>
  </si>
  <si>
    <t>Canc</t>
  </si>
  <si>
    <t>Marcel</t>
  </si>
  <si>
    <t>Educateur</t>
  </si>
  <si>
    <t>saisie absence</t>
  </si>
  <si>
    <t>ct</t>
  </si>
  <si>
    <t>Heures à faire</t>
  </si>
  <si>
    <t>récap mensuelle</t>
  </si>
  <si>
    <t>réalisé</t>
  </si>
  <si>
    <t>Congé Mat</t>
  </si>
  <si>
    <t>cat:</t>
  </si>
  <si>
    <t>Dupont</t>
  </si>
  <si>
    <t>Ct</t>
  </si>
  <si>
    <t>J0</t>
  </si>
  <si>
    <t>ANNEE</t>
  </si>
  <si>
    <t>nb hs déjà payées</t>
  </si>
  <si>
    <t>déclenchement hebdo HS:</t>
  </si>
  <si>
    <t>lundi</t>
  </si>
  <si>
    <t/>
  </si>
  <si>
    <t>total "Heures assimilées TTE"</t>
  </si>
  <si>
    <t>Heures assimilées TTE</t>
  </si>
  <si>
    <t>signature du salarié</t>
  </si>
  <si>
    <t>visa direction</t>
  </si>
  <si>
    <t>HS à payer</t>
  </si>
  <si>
    <t>dépassement base hebdo</t>
  </si>
  <si>
    <t>N° semaine</t>
  </si>
  <si>
    <t>Total heures assimilées TTE</t>
  </si>
  <si>
    <t>commentaires</t>
  </si>
  <si>
    <t>recapitulatif du 1er jour de période au dernier jour du mois en cours</t>
  </si>
  <si>
    <t>cumul HS déjà payéés</t>
  </si>
  <si>
    <t>TOTAUX</t>
  </si>
  <si>
    <t>vérification du planifié</t>
  </si>
  <si>
    <t>Réalisé + assimilé TTE</t>
  </si>
  <si>
    <t>Réalisé effectivement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</si>
</sst>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d"/>
    <numFmt numFmtId="165" formatCode="[$-40C]d\ mmmm\ yyyy;@"/>
    <numFmt numFmtId="166" formatCode="[$-40C]mmmm\-yy;@"/>
    <numFmt numFmtId="167" formatCode="[$-F800]dddd\,\ mmmm\ dd\,\ yyyy"/>
    <numFmt numFmtId="168" formatCode="[h]:mm"/>
    <numFmt numFmtId="169" formatCode="mmmm\ yyyy"/>
    <numFmt numFmtId="170" formatCode="h:mm;@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i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65"/>
        <bgColor indexed="64"/>
      </patternFill>
    </fill>
    <fill>
      <patternFill patternType="gray125">
        <bgColor rgb="FFFFFF00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8">
    <xf numFmtId="0" fontId="0" fillId="0" borderId="0" xfId="0"/>
    <xf numFmtId="14" fontId="0" fillId="0" borderId="1" xfId="0" applyNumberFormat="1" applyBorder="1" applyProtection="1">
      <protection locked="0"/>
    </xf>
    <xf numFmtId="0" fontId="0" fillId="0" borderId="0" xfId="0" applyProtection="1"/>
    <xf numFmtId="0" fontId="0" fillId="0" borderId="13" xfId="0" applyBorder="1" applyProtection="1"/>
    <xf numFmtId="0" fontId="0" fillId="0" borderId="16" xfId="0" applyBorder="1" applyProtection="1"/>
    <xf numFmtId="0" fontId="0" fillId="0" borderId="0" xfId="0" applyBorder="1" applyAlignment="1" applyProtection="1">
      <alignment horizontal="center"/>
    </xf>
    <xf numFmtId="0" fontId="0" fillId="0" borderId="0" xfId="0" applyAlignment="1" applyProtection="1">
      <alignment horizontal="center" vertical="center" wrapText="1"/>
    </xf>
    <xf numFmtId="0" fontId="0" fillId="0" borderId="12" xfId="0" applyBorder="1" applyAlignment="1" applyProtection="1">
      <alignment horizontal="center" vertical="center" wrapText="1"/>
    </xf>
    <xf numFmtId="168" fontId="0" fillId="0" borderId="12" xfId="0" applyNumberFormat="1" applyBorder="1" applyAlignment="1" applyProtection="1">
      <alignment horizontal="center" vertical="center" wrapText="1"/>
    </xf>
    <xf numFmtId="0" fontId="0" fillId="0" borderId="12" xfId="0" applyFill="1" applyBorder="1" applyAlignment="1" applyProtection="1">
      <alignment horizontal="center" vertical="center" wrapText="1"/>
    </xf>
    <xf numFmtId="165" fontId="0" fillId="0" borderId="1" xfId="0" applyNumberFormat="1" applyBorder="1" applyAlignment="1" applyProtection="1">
      <alignment horizontal="center"/>
    </xf>
    <xf numFmtId="0" fontId="0" fillId="0" borderId="1" xfId="0" applyBorder="1" applyProtection="1"/>
    <xf numFmtId="167" fontId="0" fillId="0" borderId="1" xfId="0" applyNumberFormat="1" applyBorder="1" applyProtection="1"/>
    <xf numFmtId="16" fontId="0" fillId="0" borderId="1" xfId="0" applyNumberFormat="1" applyBorder="1" applyProtection="1"/>
    <xf numFmtId="0" fontId="0" fillId="0" borderId="0" xfId="0" applyNumberFormat="1" applyBorder="1" applyProtection="1"/>
    <xf numFmtId="14" fontId="0" fillId="0" borderId="1" xfId="0" applyNumberFormat="1" applyBorder="1" applyProtection="1"/>
    <xf numFmtId="168" fontId="0" fillId="0" borderId="0" xfId="0" applyNumberFormat="1" applyProtection="1"/>
    <xf numFmtId="164" fontId="0" fillId="0" borderId="0" xfId="0" applyNumberFormat="1" applyBorder="1" applyProtection="1"/>
    <xf numFmtId="165" fontId="0" fillId="0" borderId="0" xfId="0" applyNumberFormat="1" applyBorder="1" applyAlignment="1" applyProtection="1">
      <alignment horizontal="center"/>
    </xf>
    <xf numFmtId="0" fontId="0" fillId="0" borderId="0" xfId="0" applyBorder="1" applyProtection="1"/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vertical="center"/>
      <protection locked="0"/>
    </xf>
    <xf numFmtId="20" fontId="0" fillId="2" borderId="1" xfId="0" applyNumberFormat="1" applyFill="1" applyBorder="1" applyProtection="1">
      <protection locked="0"/>
    </xf>
    <xf numFmtId="20" fontId="0" fillId="3" borderId="1" xfId="0" applyNumberFormat="1" applyFill="1" applyBorder="1" applyProtection="1">
      <protection locked="0"/>
    </xf>
    <xf numFmtId="0" fontId="0" fillId="0" borderId="1" xfId="0" applyBorder="1" applyAlignment="1" applyProtection="1">
      <alignment horizontal="left" vertical="center"/>
    </xf>
    <xf numFmtId="0" fontId="0" fillId="0" borderId="1" xfId="0" applyBorder="1" applyAlignment="1" applyProtection="1">
      <alignment vertical="center"/>
    </xf>
    <xf numFmtId="168" fontId="0" fillId="0" borderId="1" xfId="0" applyNumberFormat="1" applyBorder="1" applyAlignment="1" applyProtection="1">
      <alignment vertical="center"/>
    </xf>
    <xf numFmtId="0" fontId="0" fillId="0" borderId="1" xfId="0" applyBorder="1" applyAlignment="1" applyProtection="1">
      <alignment horizontal="left" vertical="center" wrapText="1"/>
    </xf>
    <xf numFmtId="168" fontId="0" fillId="0" borderId="1" xfId="0" applyNumberFormat="1" applyBorder="1" applyAlignment="1" applyProtection="1">
      <alignment horizontal="center"/>
    </xf>
    <xf numFmtId="0" fontId="0" fillId="2" borderId="1" xfId="0" applyFill="1" applyBorder="1" applyProtection="1"/>
    <xf numFmtId="0" fontId="0" fillId="4" borderId="1" xfId="0" applyFill="1" applyBorder="1" applyProtection="1"/>
    <xf numFmtId="20" fontId="0" fillId="2" borderId="1" xfId="0" applyNumberFormat="1" applyFill="1" applyBorder="1" applyProtection="1"/>
    <xf numFmtId="0" fontId="5" fillId="0" borderId="1" xfId="0" applyFont="1" applyBorder="1" applyProtection="1"/>
    <xf numFmtId="0" fontId="5" fillId="0" borderId="1" xfId="0" applyFont="1" applyBorder="1" applyAlignment="1" applyProtection="1">
      <alignment horizontal="left"/>
    </xf>
    <xf numFmtId="168" fontId="0" fillId="2" borderId="1" xfId="0" applyNumberFormat="1" applyFill="1" applyBorder="1" applyProtection="1"/>
    <xf numFmtId="0" fontId="0" fillId="3" borderId="1" xfId="0" applyFill="1" applyBorder="1" applyProtection="1"/>
    <xf numFmtId="0" fontId="5" fillId="4" borderId="1" xfId="0" applyFont="1" applyFill="1" applyBorder="1" applyProtection="1"/>
    <xf numFmtId="20" fontId="0" fillId="3" borderId="1" xfId="0" applyNumberFormat="1" applyFill="1" applyBorder="1" applyProtection="1"/>
    <xf numFmtId="168" fontId="0" fillId="3" borderId="1" xfId="0" applyNumberFormat="1" applyFill="1" applyBorder="1" applyProtection="1"/>
    <xf numFmtId="168" fontId="0" fillId="0" borderId="1" xfId="0" applyNumberFormat="1" applyBorder="1" applyAlignment="1" applyProtection="1">
      <alignment horizontal="right" wrapText="1"/>
    </xf>
    <xf numFmtId="0" fontId="0" fillId="0" borderId="17" xfId="0" applyBorder="1" applyAlignment="1" applyProtection="1">
      <alignment wrapText="1"/>
    </xf>
    <xf numFmtId="168" fontId="0" fillId="0" borderId="17" xfId="0" applyNumberFormat="1" applyBorder="1" applyAlignment="1" applyProtection="1">
      <alignment horizontal="left" wrapText="1"/>
    </xf>
    <xf numFmtId="168" fontId="0" fillId="0" borderId="17" xfId="0" applyNumberFormat="1" applyBorder="1" applyAlignment="1" applyProtection="1">
      <alignment wrapText="1"/>
    </xf>
    <xf numFmtId="168" fontId="0" fillId="0" borderId="1" xfId="0" applyNumberFormat="1" applyBorder="1" applyAlignment="1" applyProtection="1">
      <alignment wrapText="1"/>
      <protection locked="0"/>
    </xf>
    <xf numFmtId="168" fontId="0" fillId="0" borderId="1" xfId="0" applyNumberFormat="1" applyBorder="1" applyAlignment="1" applyProtection="1">
      <alignment horizontal="left" wrapText="1"/>
      <protection locked="0"/>
    </xf>
    <xf numFmtId="0" fontId="0" fillId="0" borderId="1" xfId="0" applyBorder="1" applyAlignment="1" applyProtection="1">
      <alignment wrapText="1"/>
      <protection locked="0"/>
    </xf>
    <xf numFmtId="168" fontId="0" fillId="0" borderId="1" xfId="0" applyNumberFormat="1" applyBorder="1" applyAlignment="1" applyProtection="1">
      <alignment wrapText="1"/>
    </xf>
    <xf numFmtId="0" fontId="0" fillId="0" borderId="1" xfId="0" applyFill="1" applyBorder="1" applyAlignment="1" applyProtection="1">
      <alignment wrapText="1"/>
    </xf>
    <xf numFmtId="0" fontId="0" fillId="0" borderId="0" xfId="0" applyAlignment="1" applyProtection="1">
      <alignment wrapText="1"/>
    </xf>
    <xf numFmtId="168" fontId="0" fillId="0" borderId="0" xfId="0" applyNumberFormat="1" applyAlignment="1" applyProtection="1">
      <alignment horizontal="left" wrapText="1"/>
    </xf>
    <xf numFmtId="168" fontId="0" fillId="0" borderId="1" xfId="0" applyNumberFormat="1" applyBorder="1" applyAlignment="1" applyProtection="1">
      <alignment horizontal="left" wrapText="1"/>
    </xf>
    <xf numFmtId="168" fontId="0" fillId="0" borderId="0" xfId="0" applyNumberFormat="1" applyBorder="1" applyAlignment="1" applyProtection="1">
      <alignment wrapText="1"/>
    </xf>
    <xf numFmtId="168" fontId="0" fillId="0" borderId="0" xfId="0" applyNumberFormat="1" applyBorder="1" applyAlignment="1" applyProtection="1">
      <alignment horizontal="left" wrapText="1"/>
    </xf>
    <xf numFmtId="0" fontId="0" fillId="0" borderId="0" xfId="0" applyBorder="1" applyAlignment="1" applyProtection="1">
      <alignment wrapText="1"/>
    </xf>
    <xf numFmtId="168" fontId="0" fillId="0" borderId="1" xfId="0" applyNumberFormat="1" applyBorder="1" applyAlignment="1" applyProtection="1">
      <alignment horizontal="center" vertical="center" wrapText="1"/>
    </xf>
    <xf numFmtId="168" fontId="0" fillId="0" borderId="0" xfId="0" applyNumberFormat="1" applyAlignment="1" applyProtection="1">
      <alignment wrapText="1"/>
    </xf>
    <xf numFmtId="168" fontId="6" fillId="0" borderId="12" xfId="0" applyNumberFormat="1" applyFont="1" applyBorder="1" applyAlignment="1" applyProtection="1">
      <alignment horizontal="center" vertical="center" wrapText="1"/>
    </xf>
    <xf numFmtId="168" fontId="0" fillId="0" borderId="1" xfId="0" applyNumberFormat="1" applyFill="1" applyBorder="1" applyAlignment="1" applyProtection="1">
      <alignment wrapText="1"/>
    </xf>
    <xf numFmtId="168" fontId="0" fillId="6" borderId="1" xfId="0" applyNumberFormat="1" applyFill="1" applyBorder="1" applyAlignment="1" applyProtection="1">
      <alignment wrapText="1"/>
    </xf>
    <xf numFmtId="0" fontId="0" fillId="0" borderId="1" xfId="0" applyFill="1" applyBorder="1" applyAlignment="1" applyProtection="1">
      <alignment horizontal="center" vertical="center" wrapText="1"/>
    </xf>
    <xf numFmtId="0" fontId="0" fillId="0" borderId="15" xfId="0" applyBorder="1" applyAlignment="1" applyProtection="1">
      <alignment horizontal="center"/>
    </xf>
    <xf numFmtId="0" fontId="0" fillId="0" borderId="18" xfId="0" applyBorder="1" applyAlignment="1" applyProtection="1">
      <alignment horizontal="center"/>
    </xf>
    <xf numFmtId="168" fontId="6" fillId="0" borderId="1" xfId="0" applyNumberFormat="1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0" fillId="0" borderId="22" xfId="0" applyBorder="1" applyAlignment="1" applyProtection="1">
      <alignment horizontal="center" vertical="center"/>
    </xf>
    <xf numFmtId="168" fontId="0" fillId="0" borderId="26" xfId="0" applyNumberFormat="1" applyBorder="1" applyAlignment="1" applyProtection="1">
      <alignment horizontal="center" vertical="center" wrapText="1"/>
    </xf>
    <xf numFmtId="0" fontId="0" fillId="0" borderId="26" xfId="0" applyBorder="1" applyAlignment="1" applyProtection="1">
      <alignment horizontal="right" vertical="center" wrapText="1"/>
    </xf>
    <xf numFmtId="168" fontId="0" fillId="0" borderId="37" xfId="0" applyNumberFormat="1" applyBorder="1" applyAlignment="1" applyProtection="1">
      <alignment horizontal="left" vertical="center" wrapText="1"/>
    </xf>
    <xf numFmtId="20" fontId="0" fillId="0" borderId="0" xfId="0" applyNumberFormat="1" applyProtection="1"/>
    <xf numFmtId="14" fontId="0" fillId="0" borderId="0" xfId="0" applyNumberFormat="1" applyBorder="1" applyProtection="1"/>
    <xf numFmtId="14" fontId="1" fillId="0" borderId="0" xfId="0" applyNumberFormat="1" applyFont="1" applyBorder="1" applyProtection="1"/>
    <xf numFmtId="168" fontId="0" fillId="0" borderId="0" xfId="0" applyNumberFormat="1" applyBorder="1" applyProtection="1"/>
    <xf numFmtId="0" fontId="0" fillId="0" borderId="0" xfId="0" applyAlignment="1" applyProtection="1"/>
    <xf numFmtId="168" fontId="0" fillId="0" borderId="1" xfId="0" applyNumberFormat="1" applyBorder="1" applyAlignment="1" applyProtection="1">
      <alignment horizontal="right" wrapText="1"/>
      <protection locked="0"/>
    </xf>
    <xf numFmtId="0" fontId="0" fillId="0" borderId="0" xfId="0" applyBorder="1" applyAlignment="1" applyProtection="1"/>
    <xf numFmtId="166" fontId="0" fillId="0" borderId="0" xfId="0" applyNumberFormat="1" applyBorder="1" applyAlignment="1" applyProtection="1"/>
    <xf numFmtId="0" fontId="0" fillId="0" borderId="23" xfId="0" applyBorder="1" applyAlignment="1" applyProtection="1">
      <alignment horizontal="center" wrapText="1"/>
    </xf>
    <xf numFmtId="0" fontId="0" fillId="0" borderId="23" xfId="0" applyFill="1" applyBorder="1" applyAlignment="1" applyProtection="1">
      <alignment horizontal="center" wrapText="1"/>
    </xf>
    <xf numFmtId="0" fontId="0" fillId="0" borderId="24" xfId="0" applyBorder="1" applyAlignment="1" applyProtection="1">
      <alignment horizontal="center" wrapText="1"/>
    </xf>
    <xf numFmtId="0" fontId="0" fillId="0" borderId="25" xfId="0" applyBorder="1" applyAlignment="1" applyProtection="1">
      <alignment horizontal="left" vertical="center"/>
    </xf>
    <xf numFmtId="0" fontId="0" fillId="1" borderId="1" xfId="0" applyFill="1" applyBorder="1" applyProtection="1"/>
    <xf numFmtId="0" fontId="0" fillId="0" borderId="40" xfId="0" applyBorder="1" applyProtection="1"/>
    <xf numFmtId="0" fontId="0" fillId="0" borderId="26" xfId="0" applyBorder="1" applyAlignment="1" applyProtection="1">
      <alignment horizontal="left" vertical="center" wrapText="1"/>
    </xf>
    <xf numFmtId="168" fontId="0" fillId="8" borderId="27" xfId="0" applyNumberFormat="1" applyFill="1" applyBorder="1" applyAlignment="1" applyProtection="1">
      <alignment vertical="center"/>
    </xf>
    <xf numFmtId="0" fontId="0" fillId="0" borderId="17" xfId="0" applyBorder="1" applyProtection="1"/>
    <xf numFmtId="0" fontId="0" fillId="8" borderId="17" xfId="0" applyFill="1" applyBorder="1" applyProtection="1"/>
    <xf numFmtId="0" fontId="0" fillId="0" borderId="26" xfId="0" applyBorder="1" applyAlignment="1" applyProtection="1">
      <alignment horizontal="left" vertical="center"/>
    </xf>
    <xf numFmtId="168" fontId="0" fillId="0" borderId="37" xfId="0" applyNumberFormat="1" applyBorder="1" applyProtection="1"/>
    <xf numFmtId="0" fontId="0" fillId="7" borderId="0" xfId="0" applyFill="1" applyProtection="1"/>
    <xf numFmtId="0" fontId="4" fillId="7" borderId="12" xfId="0" applyFont="1" applyFill="1" applyBorder="1" applyAlignment="1" applyProtection="1">
      <alignment horizontal="center" wrapText="1"/>
    </xf>
    <xf numFmtId="0" fontId="4" fillId="7" borderId="31" xfId="0" applyFont="1" applyFill="1" applyBorder="1" applyAlignment="1" applyProtection="1">
      <alignment horizontal="center" wrapText="1"/>
    </xf>
    <xf numFmtId="0" fontId="0" fillId="7" borderId="25" xfId="0" applyFill="1" applyBorder="1" applyAlignment="1" applyProtection="1"/>
    <xf numFmtId="0" fontId="0" fillId="7" borderId="1" xfId="0" applyFill="1" applyBorder="1" applyProtection="1"/>
    <xf numFmtId="0" fontId="0" fillId="9" borderId="1" xfId="0" applyFill="1" applyBorder="1" applyProtection="1"/>
    <xf numFmtId="0" fontId="0" fillId="7" borderId="17" xfId="0" applyFill="1" applyBorder="1" applyProtection="1"/>
    <xf numFmtId="0" fontId="0" fillId="7" borderId="18" xfId="0" applyFill="1" applyBorder="1" applyProtection="1"/>
    <xf numFmtId="0" fontId="0" fillId="0" borderId="0" xfId="0" applyBorder="1" applyProtection="1">
      <protection locked="0"/>
    </xf>
    <xf numFmtId="0" fontId="0" fillId="0" borderId="0" xfId="0" applyProtection="1">
      <protection locked="0"/>
    </xf>
    <xf numFmtId="0" fontId="0" fillId="0" borderId="1" xfId="0" applyBorder="1" applyProtection="1">
      <protection locked="0"/>
    </xf>
    <xf numFmtId="0" fontId="0" fillId="0" borderId="1" xfId="0" applyFill="1" applyBorder="1" applyAlignment="1" applyProtection="1">
      <alignment horizontal="center" vertical="center" wrapText="1"/>
      <protection locked="0"/>
    </xf>
    <xf numFmtId="165" fontId="0" fillId="0" borderId="8" xfId="0" applyNumberFormat="1" applyBorder="1" applyAlignment="1" applyProtection="1">
      <alignment horizontal="center"/>
      <protection locked="0"/>
    </xf>
    <xf numFmtId="0" fontId="0" fillId="0" borderId="11" xfId="0" applyBorder="1" applyProtection="1">
      <protection locked="0"/>
    </xf>
    <xf numFmtId="165" fontId="0" fillId="0" borderId="11" xfId="0" applyNumberFormat="1" applyBorder="1" applyAlignment="1" applyProtection="1">
      <alignment horizontal="center"/>
      <protection locked="0"/>
    </xf>
    <xf numFmtId="168" fontId="0" fillId="0" borderId="11" xfId="0" applyNumberFormat="1" applyBorder="1" applyAlignment="1" applyProtection="1">
      <alignment wrapText="1"/>
      <protection locked="0"/>
    </xf>
    <xf numFmtId="168" fontId="0" fillId="0" borderId="11" xfId="0" applyNumberFormat="1" applyBorder="1" applyAlignment="1" applyProtection="1">
      <alignment horizontal="left" wrapText="1"/>
      <protection locked="0"/>
    </xf>
    <xf numFmtId="0" fontId="0" fillId="0" borderId="11" xfId="0" applyBorder="1" applyAlignment="1" applyProtection="1">
      <alignment wrapText="1"/>
      <protection locked="0"/>
    </xf>
    <xf numFmtId="164" fontId="0" fillId="0" borderId="0" xfId="0" applyNumberFormat="1" applyBorder="1" applyProtection="1">
      <protection locked="0"/>
    </xf>
    <xf numFmtId="165" fontId="0" fillId="0" borderId="0" xfId="0" applyNumberFormat="1" applyBorder="1" applyProtection="1">
      <protection locked="0"/>
    </xf>
    <xf numFmtId="168" fontId="0" fillId="0" borderId="0" xfId="0" applyNumberFormat="1" applyBorder="1" applyProtection="1">
      <protection locked="0"/>
    </xf>
    <xf numFmtId="0" fontId="0" fillId="5" borderId="8" xfId="0" applyFill="1" applyBorder="1" applyAlignment="1" applyProtection="1">
      <alignment horizontal="center" vertical="center"/>
    </xf>
    <xf numFmtId="0" fontId="0" fillId="5" borderId="10" xfId="0" applyFill="1" applyBorder="1" applyAlignment="1" applyProtection="1">
      <alignment horizontal="center" vertical="center"/>
    </xf>
    <xf numFmtId="0" fontId="0" fillId="5" borderId="9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14" fontId="0" fillId="0" borderId="8" xfId="0" applyNumberFormat="1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168" fontId="0" fillId="0" borderId="8" xfId="0" applyNumberFormat="1" applyBorder="1" applyAlignment="1" applyProtection="1">
      <alignment horizontal="center"/>
    </xf>
    <xf numFmtId="168" fontId="0" fillId="0" borderId="10" xfId="0" applyNumberFormat="1" applyBorder="1" applyAlignment="1" applyProtection="1">
      <alignment horizontal="center"/>
    </xf>
    <xf numFmtId="168" fontId="0" fillId="0" borderId="9" xfId="0" applyNumberFormat="1" applyBorder="1" applyAlignment="1" applyProtection="1">
      <alignment horizontal="center"/>
    </xf>
    <xf numFmtId="0" fontId="0" fillId="0" borderId="13" xfId="0" applyBorder="1" applyAlignment="1" applyProtection="1">
      <alignment horizontal="left" vertical="top" wrapText="1"/>
    </xf>
    <xf numFmtId="0" fontId="0" fillId="0" borderId="14" xfId="0" applyBorder="1" applyAlignment="1" applyProtection="1">
      <alignment horizontal="left" vertical="top" wrapText="1"/>
    </xf>
    <xf numFmtId="0" fontId="0" fillId="0" borderId="15" xfId="0" applyBorder="1" applyAlignment="1" applyProtection="1">
      <alignment horizontal="left" vertical="top" wrapText="1"/>
    </xf>
    <xf numFmtId="0" fontId="0" fillId="0" borderId="19" xfId="0" applyBorder="1" applyAlignment="1" applyProtection="1">
      <alignment horizontal="left" vertical="top" wrapText="1"/>
    </xf>
    <xf numFmtId="0" fontId="0" fillId="0" borderId="0" xfId="0" applyBorder="1" applyAlignment="1" applyProtection="1">
      <alignment horizontal="left" vertical="top" wrapText="1"/>
    </xf>
    <xf numFmtId="0" fontId="0" fillId="0" borderId="20" xfId="0" applyBorder="1" applyAlignment="1" applyProtection="1">
      <alignment horizontal="left" vertical="top" wrapText="1"/>
    </xf>
    <xf numFmtId="0" fontId="0" fillId="0" borderId="16" xfId="0" applyBorder="1" applyAlignment="1" applyProtection="1">
      <alignment horizontal="left" vertical="top" wrapText="1"/>
    </xf>
    <xf numFmtId="0" fontId="0" fillId="0" borderId="17" xfId="0" applyBorder="1" applyAlignment="1" applyProtection="1">
      <alignment horizontal="left" vertical="top" wrapText="1"/>
    </xf>
    <xf numFmtId="0" fontId="0" fillId="0" borderId="18" xfId="0" applyBorder="1" applyAlignment="1" applyProtection="1">
      <alignment horizontal="left" vertical="top" wrapText="1"/>
    </xf>
    <xf numFmtId="0" fontId="0" fillId="0" borderId="1" xfId="0" applyBorder="1" applyAlignment="1" applyProtection="1">
      <alignment horizontal="center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</xf>
    <xf numFmtId="0" fontId="0" fillId="6" borderId="2" xfId="0" applyFill="1" applyBorder="1" applyAlignment="1" applyProtection="1">
      <alignment horizontal="center"/>
    </xf>
    <xf numFmtId="0" fontId="0" fillId="6" borderId="3" xfId="0" applyFill="1" applyBorder="1" applyAlignment="1" applyProtection="1">
      <alignment horizontal="center"/>
    </xf>
    <xf numFmtId="0" fontId="0" fillId="6" borderId="4" xfId="0" applyFill="1" applyBorder="1" applyAlignment="1" applyProtection="1">
      <alignment horizontal="center"/>
    </xf>
    <xf numFmtId="0" fontId="0" fillId="6" borderId="5" xfId="0" applyFill="1" applyBorder="1" applyAlignment="1" applyProtection="1">
      <alignment horizontal="center"/>
    </xf>
    <xf numFmtId="0" fontId="0" fillId="6" borderId="6" xfId="0" applyFill="1" applyBorder="1" applyAlignment="1" applyProtection="1">
      <alignment horizontal="center"/>
    </xf>
    <xf numFmtId="0" fontId="0" fillId="6" borderId="7" xfId="0" applyFill="1" applyBorder="1" applyAlignment="1" applyProtection="1">
      <alignment horizontal="center"/>
    </xf>
    <xf numFmtId="0" fontId="0" fillId="0" borderId="8" xfId="0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2" fillId="0" borderId="1" xfId="0" applyFont="1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/>
    </xf>
    <xf numFmtId="0" fontId="0" fillId="0" borderId="17" xfId="0" applyBorder="1" applyAlignment="1" applyProtection="1">
      <alignment horizontal="center"/>
    </xf>
    <xf numFmtId="0" fontId="0" fillId="0" borderId="32" xfId="0" applyBorder="1" applyAlignment="1" applyProtection="1">
      <alignment horizontal="center" vertical="center" wrapText="1"/>
    </xf>
    <xf numFmtId="0" fontId="0" fillId="0" borderId="33" xfId="0" applyBorder="1" applyAlignment="1" applyProtection="1">
      <alignment horizontal="center" vertical="center" wrapText="1"/>
    </xf>
    <xf numFmtId="0" fontId="0" fillId="0" borderId="34" xfId="0" applyBorder="1" applyAlignment="1" applyProtection="1">
      <alignment horizontal="center" vertical="center" wrapText="1"/>
    </xf>
    <xf numFmtId="170" fontId="0" fillId="0" borderId="27" xfId="0" applyNumberFormat="1" applyBorder="1" applyAlignment="1" applyProtection="1">
      <alignment horizontal="center" vertical="center" wrapText="1"/>
    </xf>
    <xf numFmtId="170" fontId="0" fillId="0" borderId="37" xfId="0" applyNumberFormat="1" applyBorder="1" applyAlignment="1" applyProtection="1">
      <alignment horizontal="center" vertical="center" wrapText="1"/>
    </xf>
    <xf numFmtId="0" fontId="0" fillId="0" borderId="23" xfId="0" applyBorder="1" applyAlignment="1" applyProtection="1">
      <alignment horizontal="center" vertical="center" wrapText="1"/>
    </xf>
    <xf numFmtId="168" fontId="0" fillId="0" borderId="27" xfId="0" applyNumberFormat="1" applyBorder="1" applyAlignment="1" applyProtection="1">
      <alignment horizontal="center" vertical="center" wrapText="1"/>
    </xf>
    <xf numFmtId="0" fontId="7" fillId="0" borderId="23" xfId="0" applyFont="1" applyBorder="1" applyAlignment="1" applyProtection="1">
      <alignment horizontal="center" vertical="center"/>
    </xf>
    <xf numFmtId="0" fontId="7" fillId="0" borderId="24" xfId="0" applyFont="1" applyBorder="1" applyAlignment="1" applyProtection="1">
      <alignment horizontal="center" vertical="center"/>
    </xf>
    <xf numFmtId="0" fontId="0" fillId="0" borderId="38" xfId="0" applyBorder="1" applyAlignment="1" applyProtection="1">
      <alignment horizontal="center"/>
    </xf>
    <xf numFmtId="0" fontId="0" fillId="0" borderId="39" xfId="0" applyBorder="1" applyAlignment="1" applyProtection="1">
      <alignment horizontal="center"/>
    </xf>
    <xf numFmtId="0" fontId="7" fillId="0" borderId="23" xfId="0" applyFont="1" applyBorder="1" applyAlignment="1" applyProtection="1">
      <alignment horizontal="center" vertical="center" wrapText="1"/>
    </xf>
    <xf numFmtId="168" fontId="0" fillId="7" borderId="27" xfId="0" applyNumberFormat="1" applyFill="1" applyBorder="1" applyAlignment="1" applyProtection="1">
      <alignment horizontal="center" vertical="center" wrapText="1"/>
    </xf>
    <xf numFmtId="168" fontId="0" fillId="0" borderId="23" xfId="0" applyNumberFormat="1" applyBorder="1" applyAlignment="1" applyProtection="1">
      <alignment horizontal="center" vertical="center" wrapText="1"/>
    </xf>
    <xf numFmtId="165" fontId="5" fillId="0" borderId="13" xfId="0" applyNumberFormat="1" applyFont="1" applyBorder="1" applyAlignment="1" applyProtection="1">
      <alignment horizontal="center" vertical="center"/>
      <protection locked="0"/>
    </xf>
    <xf numFmtId="165" fontId="5" fillId="0" borderId="15" xfId="0" applyNumberFormat="1" applyFont="1" applyBorder="1" applyAlignment="1" applyProtection="1">
      <alignment horizontal="center" vertical="center"/>
      <protection locked="0"/>
    </xf>
    <xf numFmtId="165" fontId="5" fillId="0" borderId="16" xfId="0" applyNumberFormat="1" applyFont="1" applyBorder="1" applyAlignment="1" applyProtection="1">
      <alignment horizontal="center" vertical="center"/>
      <protection locked="0"/>
    </xf>
    <xf numFmtId="165" fontId="5" fillId="0" borderId="18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/>
    </xf>
    <xf numFmtId="169" fontId="8" fillId="0" borderId="11" xfId="0" applyNumberFormat="1" applyFont="1" applyBorder="1" applyAlignment="1" applyProtection="1">
      <alignment horizontal="center"/>
    </xf>
    <xf numFmtId="0" fontId="0" fillId="0" borderId="19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21" xfId="0" applyBorder="1" applyAlignment="1" applyProtection="1">
      <alignment horizontal="center" vertical="center" wrapText="1"/>
    </xf>
    <xf numFmtId="0" fontId="4" fillId="7" borderId="1" xfId="0" applyFont="1" applyFill="1" applyBorder="1" applyAlignment="1" applyProtection="1">
      <alignment horizontal="center" vertical="center" wrapText="1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32" xfId="0" applyBorder="1" applyAlignment="1" applyProtection="1">
      <alignment horizontal="center"/>
      <protection locked="0"/>
    </xf>
    <xf numFmtId="0" fontId="0" fillId="0" borderId="34" xfId="0" applyBorder="1" applyAlignment="1" applyProtection="1">
      <alignment horizontal="center"/>
      <protection locked="0"/>
    </xf>
    <xf numFmtId="0" fontId="0" fillId="0" borderId="35" xfId="0" applyBorder="1" applyAlignment="1" applyProtection="1">
      <alignment horizontal="center"/>
      <protection locked="0"/>
    </xf>
    <xf numFmtId="168" fontId="0" fillId="0" borderId="14" xfId="0" applyNumberFormat="1" applyBorder="1" applyAlignment="1" applyProtection="1">
      <alignment horizontal="center" wrapText="1"/>
      <protection locked="0"/>
    </xf>
    <xf numFmtId="168" fontId="0" fillId="0" borderId="15" xfId="0" applyNumberFormat="1" applyBorder="1" applyAlignment="1" applyProtection="1">
      <alignment horizontal="center" wrapText="1"/>
      <protection locked="0"/>
    </xf>
    <xf numFmtId="168" fontId="0" fillId="0" borderId="17" xfId="0" applyNumberFormat="1" applyBorder="1" applyAlignment="1" applyProtection="1">
      <alignment horizontal="center" wrapText="1"/>
      <protection locked="0"/>
    </xf>
    <xf numFmtId="168" fontId="0" fillId="0" borderId="18" xfId="0" applyNumberFormat="1" applyBorder="1" applyAlignment="1" applyProtection="1">
      <alignment horizontal="center" wrapText="1"/>
      <protection locked="0"/>
    </xf>
    <xf numFmtId="0" fontId="0" fillId="7" borderId="36" xfId="0" applyFill="1" applyBorder="1" applyAlignment="1" applyProtection="1">
      <alignment horizontal="center" vertical="center" wrapText="1"/>
    </xf>
    <xf numFmtId="0" fontId="0" fillId="7" borderId="30" xfId="0" applyFill="1" applyBorder="1" applyAlignment="1" applyProtection="1">
      <alignment horizontal="center" vertical="center" wrapText="1"/>
    </xf>
    <xf numFmtId="168" fontId="0" fillId="7" borderId="28" xfId="0" applyNumberFormat="1" applyFill="1" applyBorder="1" applyAlignment="1" applyProtection="1">
      <alignment horizontal="center"/>
    </xf>
    <xf numFmtId="168" fontId="0" fillId="7" borderId="29" xfId="0" applyNumberFormat="1" applyFill="1" applyBorder="1" applyAlignment="1" applyProtection="1">
      <alignment horizontal="center"/>
    </xf>
    <xf numFmtId="168" fontId="0" fillId="11" borderId="0" xfId="0" applyNumberFormat="1" applyFill="1" applyProtection="1"/>
    <xf numFmtId="168" fontId="0" fillId="11" borderId="1" xfId="0" applyNumberFormat="1" applyFill="1" applyBorder="1" applyProtection="1"/>
    <xf numFmtId="168" fontId="0" fillId="10" borderId="1" xfId="0" applyNumberFormat="1" applyFill="1" applyBorder="1" applyProtection="1"/>
    <xf numFmtId="168" fontId="0" fillId="11" borderId="1" xfId="0" applyNumberFormat="1" applyFill="1" applyBorder="1" applyAlignment="1" applyProtection="1">
      <alignment wrapText="1"/>
      <protection locked="0"/>
    </xf>
  </cellXfs>
  <cellStyles count="1">
    <cellStyle name="Normal" xfId="0" builtinId="0"/>
  </cellStyles>
  <dxfs count="1427"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0070C0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/>
        <color rgb="FFFF0000"/>
      </font>
      <numFmt numFmtId="168" formatCode="[h]:mm"/>
      <fill>
        <patternFill patternType="none">
          <bgColor auto="1"/>
        </patternFill>
      </fill>
    </dxf>
    <dxf>
      <fill>
        <patternFill>
          <bgColor theme="9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planning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7</xdr:row>
      <xdr:rowOff>66675</xdr:rowOff>
    </xdr:from>
    <xdr:to>
      <xdr:col>1</xdr:col>
      <xdr:colOff>571500</xdr:colOff>
      <xdr:row>9</xdr:row>
      <xdr:rowOff>238125</xdr:rowOff>
    </xdr:to>
    <xdr:sp macro="" textlink="">
      <xdr:nvSpPr>
        <xdr:cNvPr id="8" name="Ellipse 7">
          <a:hlinkClick xmlns:r="http://schemas.openxmlformats.org/officeDocument/2006/relationships" r:id="rId1"/>
        </xdr:cNvPr>
        <xdr:cNvSpPr/>
      </xdr:nvSpPr>
      <xdr:spPr>
        <a:xfrm>
          <a:off x="38100" y="2314575"/>
          <a:ext cx="1104900" cy="6667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Planning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742950</xdr:colOff>
          <xdr:row>20</xdr:row>
          <xdr:rowOff>47625</xdr:rowOff>
        </xdr:from>
        <xdr:to>
          <xdr:col>8</xdr:col>
          <xdr:colOff>0</xdr:colOff>
          <xdr:row>22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COPIER DANS RECAP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</xdr:colOff>
          <xdr:row>0</xdr:row>
          <xdr:rowOff>19050</xdr:rowOff>
        </xdr:from>
        <xdr:to>
          <xdr:col>16</xdr:col>
          <xdr:colOff>0</xdr:colOff>
          <xdr:row>1</xdr:row>
          <xdr:rowOff>161925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COPIER DANS RECAP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61"/>
  <sheetViews>
    <sheetView showGridLines="0" zoomScaleNormal="100" workbookViewId="0">
      <selection activeCell="C1" sqref="C1:I1"/>
    </sheetView>
  </sheetViews>
  <sheetFormatPr baseColWidth="10" defaultRowHeight="15" x14ac:dyDescent="0.25"/>
  <cols>
    <col min="1" max="1" width="8.5703125" style="2" customWidth="1"/>
    <col min="2" max="2" width="9" style="2" customWidth="1"/>
    <col min="3" max="3" width="12.85546875" style="2" customWidth="1"/>
    <col min="4" max="9" width="11.42578125" style="2"/>
    <col min="10" max="10" width="17.5703125" style="2" customWidth="1"/>
    <col min="11" max="12" width="20.7109375" style="2" hidden="1" customWidth="1"/>
    <col min="13" max="13" width="25.7109375" style="2" hidden="1" customWidth="1"/>
    <col min="14" max="14" width="20.7109375" style="2" hidden="1" customWidth="1"/>
    <col min="15" max="15" width="20.7109375" style="2" customWidth="1"/>
    <col min="16" max="16384" width="11.42578125" style="2"/>
  </cols>
  <sheetData>
    <row r="1" spans="1:14" ht="60" customHeight="1" x14ac:dyDescent="0.25">
      <c r="A1" s="63" t="s">
        <v>60</v>
      </c>
      <c r="B1" s="63">
        <v>2015</v>
      </c>
      <c r="C1" s="110"/>
      <c r="D1" s="111"/>
      <c r="E1" s="111"/>
      <c r="F1" s="111"/>
      <c r="G1" s="111"/>
      <c r="H1" s="111"/>
      <c r="I1" s="112"/>
      <c r="J1" s="19"/>
      <c r="K1" s="19"/>
      <c r="L1" s="11" t="s">
        <v>33</v>
      </c>
      <c r="M1" s="11">
        <f>saisir_année</f>
        <v>2015</v>
      </c>
      <c r="N1" s="11"/>
    </row>
    <row r="2" spans="1:14" ht="20.100000000000001" customHeight="1" x14ac:dyDescent="0.25">
      <c r="C2" s="24" t="s">
        <v>6</v>
      </c>
      <c r="D2" s="114" t="s">
        <v>57</v>
      </c>
      <c r="E2" s="115"/>
      <c r="F2" s="115"/>
      <c r="G2" s="115"/>
      <c r="H2" s="115"/>
      <c r="I2" s="116"/>
      <c r="J2" s="19"/>
      <c r="K2" s="19"/>
      <c r="L2" s="11" t="s">
        <v>20</v>
      </c>
      <c r="M2" s="12">
        <f>DATE(saisir_année,1,1)</f>
        <v>42005</v>
      </c>
      <c r="N2" s="11">
        <v>1</v>
      </c>
    </row>
    <row r="3" spans="1:14" ht="20.100000000000001" customHeight="1" x14ac:dyDescent="0.25">
      <c r="C3" s="24" t="s">
        <v>7</v>
      </c>
      <c r="D3" s="114" t="s">
        <v>48</v>
      </c>
      <c r="E3" s="115"/>
      <c r="F3" s="115"/>
      <c r="G3" s="115"/>
      <c r="H3" s="115"/>
      <c r="I3" s="116"/>
      <c r="J3" s="19"/>
      <c r="K3" s="19"/>
      <c r="L3" s="11" t="s">
        <v>21</v>
      </c>
      <c r="M3" s="12">
        <f>ROUND(DATE(saisir_année,4,MOD(234-11*MOD(saisir_année,19),30))/7,0)*7-6</f>
        <v>42099</v>
      </c>
      <c r="N3" s="11">
        <v>2</v>
      </c>
    </row>
    <row r="4" spans="1:14" ht="20.100000000000001" customHeight="1" x14ac:dyDescent="0.25">
      <c r="C4" s="24" t="s">
        <v>8</v>
      </c>
      <c r="D4" s="122" t="s">
        <v>49</v>
      </c>
      <c r="E4" s="123"/>
      <c r="F4" s="123"/>
      <c r="G4" s="25" t="s">
        <v>56</v>
      </c>
      <c r="H4" s="21">
        <v>1</v>
      </c>
      <c r="I4" s="26" t="str">
        <f>IF(H4=1,"1456:00","1519:00")</f>
        <v>1456:00</v>
      </c>
      <c r="J4" s="19"/>
      <c r="K4" s="19"/>
      <c r="L4" s="11" t="s">
        <v>22</v>
      </c>
      <c r="M4" s="12">
        <f>M3+1</f>
        <v>42100</v>
      </c>
      <c r="N4" s="11">
        <v>3</v>
      </c>
    </row>
    <row r="5" spans="1:14" ht="20.100000000000001" customHeight="1" x14ac:dyDescent="0.25">
      <c r="C5" s="24" t="s">
        <v>9</v>
      </c>
      <c r="D5" s="117">
        <v>40179</v>
      </c>
      <c r="E5" s="118"/>
      <c r="F5" s="118"/>
      <c r="G5" s="118"/>
      <c r="H5" s="118"/>
      <c r="I5" s="119"/>
      <c r="J5" s="19"/>
      <c r="K5" s="19"/>
      <c r="L5" s="11" t="s">
        <v>23</v>
      </c>
      <c r="M5" s="12">
        <f>DATE(saisir_année,5,1)</f>
        <v>42125</v>
      </c>
      <c r="N5" s="11">
        <v>4</v>
      </c>
    </row>
    <row r="6" spans="1:14" ht="20.100000000000001" customHeight="1" x14ac:dyDescent="0.25">
      <c r="C6" s="24" t="s">
        <v>10</v>
      </c>
      <c r="D6" s="120">
        <v>1</v>
      </c>
      <c r="E6" s="118"/>
      <c r="F6" s="118"/>
      <c r="G6" s="118"/>
      <c r="H6" s="118"/>
      <c r="I6" s="119"/>
      <c r="J6" s="19"/>
      <c r="K6" s="19"/>
      <c r="L6" s="11" t="s">
        <v>24</v>
      </c>
      <c r="M6" s="12">
        <f>DATE(saisir_année,5,8)</f>
        <v>42132</v>
      </c>
      <c r="N6" s="11">
        <v>5</v>
      </c>
    </row>
    <row r="7" spans="1:14" ht="20.100000000000001" customHeight="1" x14ac:dyDescent="0.25">
      <c r="C7" s="121" t="s">
        <v>19</v>
      </c>
      <c r="D7" s="121"/>
      <c r="E7" s="121"/>
      <c r="F7" s="121"/>
      <c r="G7" s="121"/>
      <c r="H7" s="121"/>
      <c r="I7" s="121"/>
      <c r="J7" s="19"/>
      <c r="K7" s="19"/>
      <c r="L7" s="13" t="s">
        <v>25</v>
      </c>
      <c r="M7" s="12">
        <f>M3+39</f>
        <v>42138</v>
      </c>
      <c r="N7" s="11">
        <v>6</v>
      </c>
    </row>
    <row r="8" spans="1:14" ht="20.100000000000001" customHeight="1" x14ac:dyDescent="0.25">
      <c r="C8" s="11" t="s">
        <v>52</v>
      </c>
      <c r="D8" s="124">
        <f>(D6*I4)-(D10*B61*D6)</f>
        <v>58.916666666666664</v>
      </c>
      <c r="E8" s="125"/>
      <c r="F8" s="125"/>
      <c r="G8" s="125"/>
      <c r="H8" s="125"/>
      <c r="I8" s="126"/>
      <c r="J8" s="19"/>
      <c r="K8" s="19"/>
      <c r="L8" s="13" t="s">
        <v>26</v>
      </c>
      <c r="M8" s="12">
        <f>M3+49</f>
        <v>42148</v>
      </c>
      <c r="N8" s="11">
        <v>7</v>
      </c>
    </row>
    <row r="9" spans="1:14" ht="20.100000000000001" customHeight="1" x14ac:dyDescent="0.25">
      <c r="C9" s="24" t="s">
        <v>11</v>
      </c>
      <c r="D9" s="113">
        <v>30</v>
      </c>
      <c r="E9" s="113"/>
      <c r="F9" s="113"/>
      <c r="G9" s="113"/>
      <c r="H9" s="113"/>
      <c r="I9" s="113"/>
      <c r="J9" s="19"/>
      <c r="K9" s="19"/>
      <c r="L9" s="13" t="s">
        <v>27</v>
      </c>
      <c r="M9" s="12">
        <f>M3+50</f>
        <v>42149</v>
      </c>
      <c r="N9" s="11">
        <v>8</v>
      </c>
    </row>
    <row r="10" spans="1:14" ht="20.100000000000001" customHeight="1" x14ac:dyDescent="0.25">
      <c r="C10" s="24" t="s">
        <v>12</v>
      </c>
      <c r="D10" s="122">
        <v>6</v>
      </c>
      <c r="E10" s="123"/>
      <c r="F10" s="123"/>
      <c r="G10" s="123"/>
      <c r="H10" s="123"/>
      <c r="I10" s="137"/>
      <c r="J10" s="19"/>
      <c r="K10" s="19"/>
      <c r="L10" s="11" t="s">
        <v>28</v>
      </c>
      <c r="M10" s="12">
        <f>DATE(saisir_année,7,14)</f>
        <v>42199</v>
      </c>
      <c r="N10" s="11">
        <v>9</v>
      </c>
    </row>
    <row r="11" spans="1:14" ht="20.100000000000001" customHeight="1" x14ac:dyDescent="0.25">
      <c r="C11" s="24" t="s">
        <v>13</v>
      </c>
      <c r="D11" s="138" t="s">
        <v>14</v>
      </c>
      <c r="E11" s="139"/>
      <c r="F11" s="138" t="s">
        <v>15</v>
      </c>
      <c r="G11" s="139"/>
      <c r="H11" s="138" t="s">
        <v>16</v>
      </c>
      <c r="I11" s="139"/>
      <c r="J11" s="19"/>
      <c r="K11" s="19"/>
      <c r="L11" s="11" t="s">
        <v>29</v>
      </c>
      <c r="M11" s="12">
        <f>DATE(saisir_année,8,15)</f>
        <v>42231</v>
      </c>
      <c r="N11" s="11">
        <v>10</v>
      </c>
    </row>
    <row r="12" spans="1:14" ht="20.100000000000001" customHeight="1" x14ac:dyDescent="0.25">
      <c r="C12" s="24"/>
      <c r="D12" s="122">
        <v>6</v>
      </c>
      <c r="E12" s="137"/>
      <c r="F12" s="122">
        <v>6</v>
      </c>
      <c r="G12" s="137"/>
      <c r="H12" s="122">
        <v>6</v>
      </c>
      <c r="I12" s="137"/>
      <c r="J12" s="19"/>
      <c r="K12" s="19"/>
      <c r="L12" s="11" t="s">
        <v>30</v>
      </c>
      <c r="M12" s="12">
        <f>DATE(saisir_année,11,1)</f>
        <v>42309</v>
      </c>
      <c r="N12" s="11">
        <v>11</v>
      </c>
    </row>
    <row r="13" spans="1:14" ht="20.100000000000001" customHeight="1" x14ac:dyDescent="0.25">
      <c r="C13" s="121" t="s">
        <v>17</v>
      </c>
      <c r="D13" s="121"/>
      <c r="E13" s="121"/>
      <c r="F13" s="121"/>
      <c r="G13" s="121"/>
      <c r="H13" s="121"/>
      <c r="I13" s="121"/>
      <c r="J13" s="19"/>
      <c r="K13" s="19"/>
      <c r="L13" s="11" t="s">
        <v>31</v>
      </c>
      <c r="M13" s="12">
        <f>DATE(saisir_année,11,11)</f>
        <v>42319</v>
      </c>
      <c r="N13" s="11">
        <v>12</v>
      </c>
    </row>
    <row r="14" spans="1:14" ht="20.100000000000001" customHeight="1" x14ac:dyDescent="0.25">
      <c r="C14" s="24" t="s">
        <v>11</v>
      </c>
      <c r="D14" s="122"/>
      <c r="E14" s="123"/>
      <c r="F14" s="123"/>
      <c r="G14" s="123"/>
      <c r="H14" s="123"/>
      <c r="I14" s="137"/>
      <c r="J14" s="19"/>
      <c r="K14" s="19"/>
      <c r="L14" s="11" t="s">
        <v>32</v>
      </c>
      <c r="M14" s="12">
        <f>DATE(saisir_année,12,25)</f>
        <v>42363</v>
      </c>
      <c r="N14" s="11">
        <v>13</v>
      </c>
    </row>
    <row r="15" spans="1:14" ht="20.100000000000001" customHeight="1" x14ac:dyDescent="0.25">
      <c r="C15" s="24" t="s">
        <v>12</v>
      </c>
      <c r="D15" s="122"/>
      <c r="E15" s="123"/>
      <c r="F15" s="123"/>
      <c r="G15" s="123"/>
      <c r="H15" s="123"/>
      <c r="I15" s="137"/>
      <c r="J15" s="19"/>
      <c r="K15" s="19"/>
    </row>
    <row r="16" spans="1:14" ht="30" x14ac:dyDescent="0.25">
      <c r="C16" s="27" t="s">
        <v>18</v>
      </c>
      <c r="D16" s="122"/>
      <c r="E16" s="123"/>
      <c r="F16" s="123"/>
      <c r="G16" s="123"/>
      <c r="H16" s="123"/>
      <c r="I16" s="137"/>
      <c r="J16" s="19"/>
      <c r="K16" s="19"/>
    </row>
    <row r="17" spans="3:13" ht="5.0999999999999996" customHeight="1" x14ac:dyDescent="0.25">
      <c r="C17" s="5"/>
      <c r="D17" s="5"/>
      <c r="E17" s="5"/>
      <c r="F17" s="5"/>
      <c r="G17" s="5"/>
      <c r="H17" s="5"/>
      <c r="I17" s="5"/>
      <c r="J17" s="19"/>
      <c r="K17" s="19"/>
    </row>
    <row r="18" spans="3:13" ht="5.0999999999999996" customHeight="1" x14ac:dyDescent="0.25">
      <c r="C18" s="5"/>
      <c r="D18" s="5"/>
      <c r="E18" s="5"/>
      <c r="F18" s="5"/>
      <c r="G18" s="5"/>
      <c r="H18" s="5"/>
      <c r="I18" s="5"/>
      <c r="J18" s="19"/>
      <c r="K18" s="19"/>
    </row>
    <row r="19" spans="3:13" ht="5.0999999999999996" customHeight="1" x14ac:dyDescent="0.25">
      <c r="C19" s="5"/>
      <c r="D19" s="5"/>
      <c r="E19" s="5"/>
      <c r="F19" s="5"/>
      <c r="G19" s="5"/>
      <c r="H19" s="5"/>
      <c r="I19" s="5"/>
      <c r="J19" s="19"/>
      <c r="K19" s="19"/>
    </row>
    <row r="20" spans="3:13" x14ac:dyDescent="0.25">
      <c r="C20" s="136" t="s">
        <v>62</v>
      </c>
      <c r="D20" s="136"/>
      <c r="E20" s="28">
        <v>1.8333333333333335</v>
      </c>
      <c r="F20" s="5"/>
      <c r="G20" s="5"/>
      <c r="H20" s="5"/>
      <c r="I20" s="5"/>
      <c r="J20" s="19"/>
      <c r="K20" s="19"/>
    </row>
    <row r="21" spans="3:13" x14ac:dyDescent="0.25">
      <c r="J21" s="19"/>
      <c r="K21" s="19"/>
    </row>
    <row r="22" spans="3:13" x14ac:dyDescent="0.25">
      <c r="F22" s="140"/>
      <c r="G22" s="141"/>
      <c r="H22" s="142"/>
      <c r="J22" s="19"/>
      <c r="K22" s="19"/>
    </row>
    <row r="23" spans="3:13" x14ac:dyDescent="0.25">
      <c r="F23" s="143"/>
      <c r="G23" s="144"/>
      <c r="H23" s="145"/>
    </row>
    <row r="24" spans="3:13" x14ac:dyDescent="0.25">
      <c r="F24" s="146" t="s">
        <v>2</v>
      </c>
      <c r="G24" s="147"/>
      <c r="H24" s="1">
        <v>42005</v>
      </c>
    </row>
    <row r="25" spans="3:13" x14ac:dyDescent="0.25">
      <c r="F25" s="146" t="s">
        <v>3</v>
      </c>
      <c r="G25" s="147"/>
      <c r="H25" s="15">
        <f>DATE(YEAR(H24),MONTH(H24)+1,0)</f>
        <v>42035</v>
      </c>
    </row>
    <row r="26" spans="3:13" ht="5.0999999999999996" customHeight="1" x14ac:dyDescent="0.25"/>
    <row r="27" spans="3:13" ht="5.0999999999999996" customHeight="1" x14ac:dyDescent="0.25"/>
    <row r="28" spans="3:13" x14ac:dyDescent="0.25">
      <c r="C28" s="29"/>
      <c r="D28" s="29"/>
      <c r="E28" s="29"/>
      <c r="F28" s="29"/>
      <c r="G28" s="29"/>
      <c r="H28" s="29"/>
      <c r="I28" s="29"/>
      <c r="L28" s="30"/>
      <c r="M28" s="11"/>
    </row>
    <row r="29" spans="3:13" x14ac:dyDescent="0.25">
      <c r="C29" s="29"/>
      <c r="D29" s="22"/>
      <c r="E29" s="22"/>
      <c r="F29" s="31"/>
      <c r="G29" s="22"/>
      <c r="H29" s="22"/>
      <c r="I29" s="31"/>
      <c r="J29" s="72"/>
      <c r="L29" s="32"/>
      <c r="M29" s="33"/>
    </row>
    <row r="30" spans="3:13" x14ac:dyDescent="0.25">
      <c r="C30" s="29"/>
      <c r="D30" s="22"/>
      <c r="E30" s="22"/>
      <c r="F30" s="31"/>
      <c r="G30" s="22"/>
      <c r="H30" s="22"/>
      <c r="I30" s="31"/>
      <c r="J30" s="72"/>
      <c r="L30" s="32"/>
      <c r="M30" s="33"/>
    </row>
    <row r="31" spans="3:13" x14ac:dyDescent="0.25">
      <c r="C31" s="29"/>
      <c r="D31" s="22"/>
      <c r="E31" s="22"/>
      <c r="F31" s="31"/>
      <c r="G31" s="22"/>
      <c r="H31" s="22"/>
      <c r="I31" s="31"/>
      <c r="J31" s="72"/>
      <c r="L31" s="32"/>
      <c r="M31" s="33"/>
    </row>
    <row r="32" spans="3:13" x14ac:dyDescent="0.25">
      <c r="C32" s="29"/>
      <c r="D32" s="22"/>
      <c r="E32" s="22"/>
      <c r="F32" s="31"/>
      <c r="G32" s="22"/>
      <c r="H32" s="22"/>
      <c r="I32" s="31"/>
      <c r="J32" s="72"/>
      <c r="L32" s="32"/>
      <c r="M32" s="33"/>
    </row>
    <row r="33" spans="1:13" x14ac:dyDescent="0.25">
      <c r="C33" s="29"/>
      <c r="D33" s="22"/>
      <c r="E33" s="22"/>
      <c r="F33" s="31"/>
      <c r="G33" s="22"/>
      <c r="H33" s="22"/>
      <c r="I33" s="31"/>
      <c r="J33" s="72"/>
      <c r="L33" s="32"/>
      <c r="M33" s="33"/>
    </row>
    <row r="34" spans="1:13" x14ac:dyDescent="0.25">
      <c r="C34" s="29"/>
      <c r="D34" s="29"/>
      <c r="E34" s="29"/>
      <c r="F34" s="29"/>
      <c r="G34" s="29"/>
      <c r="H34" s="29"/>
      <c r="I34" s="31"/>
      <c r="J34" s="72"/>
      <c r="L34" s="32"/>
      <c r="M34" s="33"/>
    </row>
    <row r="35" spans="1:13" x14ac:dyDescent="0.25">
      <c r="C35" s="29"/>
      <c r="D35" s="29"/>
      <c r="E35" s="29"/>
      <c r="F35" s="29"/>
      <c r="G35" s="29"/>
      <c r="H35" s="29"/>
      <c r="I35" s="31"/>
      <c r="J35" s="72"/>
      <c r="L35" s="32"/>
      <c r="M35" s="33"/>
    </row>
    <row r="36" spans="1:13" x14ac:dyDescent="0.25">
      <c r="C36" s="29"/>
      <c r="D36" s="29"/>
      <c r="E36" s="29"/>
      <c r="F36" s="29"/>
      <c r="G36" s="29"/>
      <c r="H36" s="29"/>
      <c r="I36" s="34"/>
      <c r="J36" s="72"/>
      <c r="L36" s="32"/>
      <c r="M36" s="33"/>
    </row>
    <row r="37" spans="1:13" x14ac:dyDescent="0.25">
      <c r="C37" s="35"/>
      <c r="D37" s="35"/>
      <c r="E37" s="35"/>
      <c r="F37" s="35"/>
      <c r="G37" s="35"/>
      <c r="H37" s="35"/>
      <c r="I37" s="35"/>
      <c r="J37" s="72"/>
      <c r="L37" s="36"/>
      <c r="M37" s="33"/>
    </row>
    <row r="38" spans="1:13" x14ac:dyDescent="0.25">
      <c r="C38" s="35"/>
      <c r="D38" s="23"/>
      <c r="E38" s="23"/>
      <c r="F38" s="37"/>
      <c r="G38" s="23"/>
      <c r="H38" s="23"/>
      <c r="I38" s="37"/>
      <c r="J38" s="72"/>
      <c r="L38" s="32"/>
      <c r="M38" s="33"/>
    </row>
    <row r="39" spans="1:13" x14ac:dyDescent="0.25">
      <c r="C39" s="35"/>
      <c r="D39" s="23"/>
      <c r="E39" s="23"/>
      <c r="F39" s="37"/>
      <c r="G39" s="23"/>
      <c r="H39" s="23"/>
      <c r="I39" s="37"/>
      <c r="J39" s="72"/>
      <c r="L39" s="32"/>
      <c r="M39" s="33"/>
    </row>
    <row r="40" spans="1:13" x14ac:dyDescent="0.25">
      <c r="C40" s="35"/>
      <c r="D40" s="23"/>
      <c r="E40" s="23"/>
      <c r="F40" s="37"/>
      <c r="G40" s="23"/>
      <c r="H40" s="23"/>
      <c r="I40" s="37"/>
      <c r="J40" s="72"/>
      <c r="L40" s="32"/>
      <c r="M40" s="33"/>
    </row>
    <row r="41" spans="1:13" x14ac:dyDescent="0.25">
      <c r="C41" s="35"/>
      <c r="D41" s="23"/>
      <c r="E41" s="23"/>
      <c r="F41" s="37"/>
      <c r="G41" s="23"/>
      <c r="H41" s="23"/>
      <c r="I41" s="37"/>
      <c r="J41" s="72"/>
    </row>
    <row r="42" spans="1:13" x14ac:dyDescent="0.25">
      <c r="C42" s="35"/>
      <c r="D42" s="23"/>
      <c r="E42" s="23"/>
      <c r="F42" s="37"/>
      <c r="G42" s="23"/>
      <c r="H42" s="23"/>
      <c r="I42" s="37"/>
      <c r="J42" s="72"/>
    </row>
    <row r="43" spans="1:13" x14ac:dyDescent="0.25">
      <c r="C43" s="35"/>
      <c r="D43" s="35"/>
      <c r="E43" s="35"/>
      <c r="F43" s="35"/>
      <c r="G43" s="35"/>
      <c r="H43" s="35"/>
      <c r="I43" s="37"/>
    </row>
    <row r="44" spans="1:13" x14ac:dyDescent="0.25">
      <c r="C44" s="35"/>
      <c r="D44" s="35"/>
      <c r="E44" s="35"/>
      <c r="F44" s="35"/>
      <c r="G44" s="35"/>
      <c r="H44" s="35"/>
      <c r="I44" s="37"/>
    </row>
    <row r="45" spans="1:13" x14ac:dyDescent="0.25">
      <c r="C45" s="35"/>
      <c r="D45" s="35"/>
      <c r="E45" s="35"/>
      <c r="F45" s="35"/>
      <c r="G45" s="35"/>
      <c r="H45" s="35"/>
      <c r="I45" s="38"/>
    </row>
    <row r="46" spans="1:13" ht="15.75" thickBot="1" x14ac:dyDescent="0.3"/>
    <row r="47" spans="1:13" x14ac:dyDescent="0.25">
      <c r="A47" s="127"/>
      <c r="B47" s="12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9"/>
    </row>
    <row r="48" spans="1:13" x14ac:dyDescent="0.25">
      <c r="A48" s="130"/>
      <c r="B48" s="131"/>
      <c r="C48" s="131"/>
      <c r="D48" s="131"/>
      <c r="E48" s="131"/>
      <c r="F48" s="131"/>
      <c r="G48" s="131"/>
      <c r="H48" s="131"/>
      <c r="I48" s="131"/>
      <c r="J48" s="131"/>
      <c r="K48" s="131"/>
      <c r="L48" s="131"/>
      <c r="M48" s="132"/>
    </row>
    <row r="49" spans="1:13" x14ac:dyDescent="0.25">
      <c r="A49" s="130"/>
      <c r="B49" s="131"/>
      <c r="C49" s="131"/>
      <c r="D49" s="131"/>
      <c r="E49" s="131"/>
      <c r="F49" s="131"/>
      <c r="G49" s="131"/>
      <c r="H49" s="131"/>
      <c r="I49" s="131"/>
      <c r="J49" s="131"/>
      <c r="K49" s="131"/>
      <c r="L49" s="131"/>
      <c r="M49" s="132"/>
    </row>
    <row r="50" spans="1:13" x14ac:dyDescent="0.25">
      <c r="A50" s="130"/>
      <c r="B50" s="131"/>
      <c r="C50" s="131"/>
      <c r="D50" s="131"/>
      <c r="E50" s="131"/>
      <c r="F50" s="131"/>
      <c r="G50" s="131"/>
      <c r="H50" s="131"/>
      <c r="I50" s="131"/>
      <c r="J50" s="131"/>
      <c r="K50" s="131"/>
      <c r="L50" s="131"/>
      <c r="M50" s="132"/>
    </row>
    <row r="51" spans="1:13" x14ac:dyDescent="0.25">
      <c r="A51" s="130"/>
      <c r="B51" s="131"/>
      <c r="C51" s="131"/>
      <c r="D51" s="131"/>
      <c r="E51" s="131"/>
      <c r="F51" s="131"/>
      <c r="G51" s="131"/>
      <c r="H51" s="131"/>
      <c r="I51" s="131"/>
      <c r="J51" s="131"/>
      <c r="K51" s="131"/>
      <c r="L51" s="131"/>
      <c r="M51" s="132"/>
    </row>
    <row r="52" spans="1:13" x14ac:dyDescent="0.25">
      <c r="A52" s="130"/>
      <c r="B52" s="131"/>
      <c r="C52" s="131"/>
      <c r="D52" s="131"/>
      <c r="E52" s="131"/>
      <c r="F52" s="131"/>
      <c r="G52" s="131"/>
      <c r="H52" s="131"/>
      <c r="I52" s="131"/>
      <c r="J52" s="131"/>
      <c r="K52" s="131"/>
      <c r="L52" s="131"/>
      <c r="M52" s="132"/>
    </row>
    <row r="53" spans="1:13" x14ac:dyDescent="0.25">
      <c r="A53" s="130"/>
      <c r="B53" s="131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2"/>
    </row>
    <row r="54" spans="1:13" ht="15.75" thickBot="1" x14ac:dyDescent="0.3">
      <c r="A54" s="133"/>
      <c r="B54" s="134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5"/>
    </row>
    <row r="61" spans="1:13" x14ac:dyDescent="0.25">
      <c r="B61" s="69">
        <v>0.29166666666666669</v>
      </c>
    </row>
  </sheetData>
  <mergeCells count="25">
    <mergeCell ref="A47:M54"/>
    <mergeCell ref="C20:D20"/>
    <mergeCell ref="D10:I10"/>
    <mergeCell ref="D11:E11"/>
    <mergeCell ref="H11:I11"/>
    <mergeCell ref="F11:G11"/>
    <mergeCell ref="H12:I12"/>
    <mergeCell ref="F12:G12"/>
    <mergeCell ref="D12:E12"/>
    <mergeCell ref="F22:H23"/>
    <mergeCell ref="F24:G24"/>
    <mergeCell ref="F25:G25"/>
    <mergeCell ref="D14:I14"/>
    <mergeCell ref="D15:I15"/>
    <mergeCell ref="D16:I16"/>
    <mergeCell ref="C13:I13"/>
    <mergeCell ref="C1:I1"/>
    <mergeCell ref="D9:I9"/>
    <mergeCell ref="D2:I2"/>
    <mergeCell ref="D3:I3"/>
    <mergeCell ref="D5:I5"/>
    <mergeCell ref="D6:I6"/>
    <mergeCell ref="C7:I7"/>
    <mergeCell ref="D4:F4"/>
    <mergeCell ref="D8:I8"/>
  </mergeCells>
  <pageMargins left="0.25" right="0.25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pie">
                <anchor moveWithCells="1" sizeWithCells="1">
                  <from>
                    <xdr:col>4</xdr:col>
                    <xdr:colOff>742950</xdr:colOff>
                    <xdr:row>20</xdr:row>
                    <xdr:rowOff>47625</xdr:rowOff>
                  </from>
                  <to>
                    <xdr:col>8</xdr:col>
                    <xdr:colOff>0</xdr:colOff>
                    <xdr:row>22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383"/>
  <sheetViews>
    <sheetView zoomScale="115" zoomScaleNormal="115" workbookViewId="0">
      <pane ySplit="3" topLeftCell="A27" activePane="bottomLeft" state="frozen"/>
      <selection pane="bottomLeft" activeCell="H19" sqref="H19"/>
    </sheetView>
  </sheetViews>
  <sheetFormatPr baseColWidth="10" defaultRowHeight="15" x14ac:dyDescent="0.25"/>
  <cols>
    <col min="1" max="1" width="1.7109375" style="2" customWidth="1"/>
    <col min="2" max="2" width="11.42578125" style="2"/>
    <col min="3" max="3" width="18.5703125" style="64" bestFit="1" customWidth="1"/>
    <col min="4" max="4" width="8.28515625" style="55" customWidth="1"/>
    <col min="5" max="6" width="8.28515625" style="49" customWidth="1"/>
    <col min="7" max="7" width="8.28515625" style="48" customWidth="1"/>
    <col min="8" max="9" width="8.28515625" style="55" customWidth="1"/>
    <col min="10" max="10" width="8.28515625" style="48" customWidth="1"/>
    <col min="11" max="11" width="6.5703125" style="2" customWidth="1"/>
    <col min="12" max="12" width="11.42578125" style="2"/>
    <col min="13" max="13" width="11.28515625" style="2" hidden="1" customWidth="1"/>
    <col min="14" max="14" width="18" style="2" hidden="1" customWidth="1"/>
    <col min="15" max="15" width="25.7109375" style="2" hidden="1" customWidth="1"/>
    <col min="16" max="16" width="3.28515625" style="2" hidden="1" customWidth="1"/>
    <col min="17" max="17" width="10.85546875" style="2" customWidth="1"/>
    <col min="18" max="16384" width="11.42578125" style="2"/>
  </cols>
  <sheetData>
    <row r="1" spans="1:16" ht="43.5" customHeight="1" thickBot="1" x14ac:dyDescent="0.3">
      <c r="B1" s="3">
        <f>saisir_année</f>
        <v>2015</v>
      </c>
      <c r="C1" s="149"/>
      <c r="D1" s="151" t="str">
        <f>paramètres!D2&amp;"  "&amp;paramètres!D3</f>
        <v>Dupont  Marcel</v>
      </c>
      <c r="E1" s="152"/>
      <c r="F1" s="152"/>
      <c r="G1" s="152"/>
      <c r="H1" s="152"/>
      <c r="I1" s="152"/>
      <c r="J1" s="153"/>
      <c r="K1" s="60"/>
    </row>
    <row r="2" spans="1:16" ht="15.75" thickBot="1" x14ac:dyDescent="0.3">
      <c r="B2" s="4"/>
      <c r="C2" s="150"/>
      <c r="D2" s="42"/>
      <c r="E2" s="41"/>
      <c r="F2" s="41"/>
      <c r="G2" s="40"/>
      <c r="H2" s="42"/>
      <c r="I2" s="42"/>
      <c r="J2" s="40"/>
      <c r="K2" s="61"/>
    </row>
    <row r="3" spans="1:16" s="6" customFormat="1" ht="60" x14ac:dyDescent="0.25">
      <c r="B3" s="7" t="s">
        <v>0</v>
      </c>
      <c r="C3" s="7" t="s">
        <v>1</v>
      </c>
      <c r="D3" s="8" t="s">
        <v>4</v>
      </c>
      <c r="E3" s="8" t="s">
        <v>5</v>
      </c>
      <c r="F3" s="8" t="s">
        <v>40</v>
      </c>
      <c r="G3" s="7" t="s">
        <v>50</v>
      </c>
      <c r="H3" s="56" t="s">
        <v>66</v>
      </c>
      <c r="I3" s="56" t="s">
        <v>72</v>
      </c>
      <c r="J3" s="9" t="s">
        <v>70</v>
      </c>
      <c r="K3" s="9" t="s">
        <v>71</v>
      </c>
    </row>
    <row r="4" spans="1:16" x14ac:dyDescent="0.25">
      <c r="A4" s="10">
        <f>DATE(saisir_année,1,1)-WEEKDAY(DATE(saisir_année,1,1),2)+1</f>
        <v>42002</v>
      </c>
      <c r="B4" s="11" t="str">
        <f>LOWER(TEXT(C4,"jjjj"))</f>
        <v>lundi</v>
      </c>
      <c r="C4" s="10">
        <f>DATE(saisir_année,1,1)-WEEKDAY(DATE(saisir_année,1,1),2)+1</f>
        <v>42002</v>
      </c>
      <c r="D4" s="43"/>
      <c r="E4" s="44"/>
      <c r="F4" s="50"/>
      <c r="G4" s="45"/>
      <c r="H4" s="46" t="str">
        <f>IF(OR(G4="AT",G4="AM",G4="CMat",G4="For"),D4,"")</f>
        <v/>
      </c>
      <c r="I4" s="46"/>
      <c r="J4" s="47"/>
      <c r="K4" s="148">
        <f t="shared" ref="K4:K67" si="0">IF(WEEKDAY(A4,2)=1,WEEKNUM(A4),"")</f>
        <v>53</v>
      </c>
      <c r="N4" s="11" t="s">
        <v>20</v>
      </c>
      <c r="O4" s="12">
        <f>DATE(saisir_année,1,1)</f>
        <v>42005</v>
      </c>
      <c r="P4" s="11">
        <v>1</v>
      </c>
    </row>
    <row r="5" spans="1:16" x14ac:dyDescent="0.25">
      <c r="A5" s="10">
        <f>A4+1</f>
        <v>42003</v>
      </c>
      <c r="B5" s="11" t="str">
        <f t="shared" ref="B5:B68" si="1">LOWER(TEXT(C5,"jjjj"))</f>
        <v>mardi</v>
      </c>
      <c r="C5" s="10">
        <f>C4+1</f>
        <v>42003</v>
      </c>
      <c r="D5" s="43"/>
      <c r="E5" s="44"/>
      <c r="F5" s="50"/>
      <c r="G5" s="45"/>
      <c r="H5" s="46" t="str">
        <f t="shared" ref="H5:H68" si="2">IF(OR(G5="AT",G5="AM",G5="CMat",G5="For"),D5,"")</f>
        <v/>
      </c>
      <c r="I5" s="46"/>
      <c r="J5" s="57"/>
      <c r="K5" s="148"/>
      <c r="N5" s="11" t="s">
        <v>21</v>
      </c>
      <c r="O5" s="12">
        <f>ROUND(DATE(saisir_année,4,MOD(234-11*MOD(saisir_année,19),30))/7,0)*7-6</f>
        <v>42099</v>
      </c>
      <c r="P5" s="11">
        <v>2</v>
      </c>
    </row>
    <row r="6" spans="1:16" x14ac:dyDescent="0.25">
      <c r="A6" s="10">
        <f t="shared" ref="A6:C69" si="3">A5+1</f>
        <v>42004</v>
      </c>
      <c r="B6" s="11" t="str">
        <f t="shared" si="1"/>
        <v>mercredi</v>
      </c>
      <c r="C6" s="10">
        <f t="shared" si="3"/>
        <v>42004</v>
      </c>
      <c r="D6" s="43"/>
      <c r="E6" s="44"/>
      <c r="F6" s="50"/>
      <c r="G6" s="45"/>
      <c r="H6" s="46" t="str">
        <f t="shared" si="2"/>
        <v/>
      </c>
      <c r="I6" s="46"/>
      <c r="J6" s="46"/>
      <c r="K6" s="148"/>
      <c r="N6" s="11" t="s">
        <v>22</v>
      </c>
      <c r="O6" s="12">
        <f>O5+1</f>
        <v>42100</v>
      </c>
      <c r="P6" s="11">
        <v>3</v>
      </c>
    </row>
    <row r="7" spans="1:16" x14ac:dyDescent="0.25">
      <c r="A7" s="10">
        <f t="shared" si="3"/>
        <v>42005</v>
      </c>
      <c r="B7" s="11" t="str">
        <f t="shared" si="1"/>
        <v>jeudi</v>
      </c>
      <c r="C7" s="10">
        <f t="shared" si="3"/>
        <v>42005</v>
      </c>
      <c r="D7" s="43" t="s">
        <v>46</v>
      </c>
      <c r="E7" s="44"/>
      <c r="F7" s="50"/>
      <c r="G7" s="45"/>
      <c r="H7" s="46" t="str">
        <f t="shared" si="2"/>
        <v/>
      </c>
      <c r="I7" s="46"/>
      <c r="J7" s="46"/>
      <c r="K7" s="148"/>
      <c r="N7" s="11" t="s">
        <v>23</v>
      </c>
      <c r="O7" s="12">
        <f>DATE(saisir_année,5,1)</f>
        <v>42125</v>
      </c>
      <c r="P7" s="11">
        <v>4</v>
      </c>
    </row>
    <row r="8" spans="1:16" x14ac:dyDescent="0.25">
      <c r="A8" s="10">
        <f t="shared" si="3"/>
        <v>42006</v>
      </c>
      <c r="B8" s="11" t="str">
        <f t="shared" si="1"/>
        <v>vendredi</v>
      </c>
      <c r="C8" s="10">
        <f>C7+1</f>
        <v>42006</v>
      </c>
      <c r="D8" s="43" t="s">
        <v>46</v>
      </c>
      <c r="E8" s="44"/>
      <c r="F8" s="50"/>
      <c r="G8" s="45"/>
      <c r="H8" s="46" t="str">
        <f t="shared" si="2"/>
        <v/>
      </c>
      <c r="I8" s="46"/>
      <c r="J8" s="46"/>
      <c r="K8" s="148"/>
      <c r="N8" s="11" t="s">
        <v>24</v>
      </c>
      <c r="O8" s="12">
        <f>DATE(saisir_année,5,8)</f>
        <v>42132</v>
      </c>
      <c r="P8" s="11">
        <v>5</v>
      </c>
    </row>
    <row r="9" spans="1:16" x14ac:dyDescent="0.25">
      <c r="A9" s="10">
        <f t="shared" si="3"/>
        <v>42007</v>
      </c>
      <c r="B9" s="11" t="str">
        <f t="shared" si="1"/>
        <v>samedi</v>
      </c>
      <c r="C9" s="10">
        <f t="shared" si="3"/>
        <v>42007</v>
      </c>
      <c r="D9" s="43"/>
      <c r="E9" s="44"/>
      <c r="F9" s="50"/>
      <c r="G9" s="45"/>
      <c r="H9" s="46" t="str">
        <f t="shared" si="2"/>
        <v/>
      </c>
      <c r="I9" s="46"/>
      <c r="J9" s="46"/>
      <c r="K9" s="148"/>
      <c r="N9" s="13" t="s">
        <v>25</v>
      </c>
      <c r="O9" s="12">
        <f>O5+39</f>
        <v>42138</v>
      </c>
      <c r="P9" s="11">
        <v>6</v>
      </c>
    </row>
    <row r="10" spans="1:16" x14ac:dyDescent="0.25">
      <c r="A10" s="10">
        <f t="shared" si="3"/>
        <v>42008</v>
      </c>
      <c r="B10" s="11" t="str">
        <f t="shared" si="1"/>
        <v>dimanche</v>
      </c>
      <c r="C10" s="10">
        <f t="shared" si="3"/>
        <v>42008</v>
      </c>
      <c r="D10" s="43"/>
      <c r="E10" s="44"/>
      <c r="F10" s="39">
        <f>SUM(E4:E9)</f>
        <v>0</v>
      </c>
      <c r="G10" s="45"/>
      <c r="H10" s="46" t="str">
        <f t="shared" si="2"/>
        <v/>
      </c>
      <c r="I10" s="57">
        <f>SUM(H4:H9)</f>
        <v>0</v>
      </c>
      <c r="J10" s="46" t="str">
        <f>IF((SUM(E4:E9)&gt;paramètres!$E$20),SUM(E4:E9)-paramètres!$E$20,"")</f>
        <v/>
      </c>
      <c r="K10" s="148"/>
      <c r="N10" s="13" t="s">
        <v>26</v>
      </c>
      <c r="O10" s="12">
        <f>O5+49</f>
        <v>42148</v>
      </c>
      <c r="P10" s="11">
        <v>7</v>
      </c>
    </row>
    <row r="11" spans="1:16" x14ac:dyDescent="0.25">
      <c r="A11" s="10">
        <f t="shared" si="3"/>
        <v>42009</v>
      </c>
      <c r="B11" s="11" t="str">
        <f t="shared" si="1"/>
        <v>lundi</v>
      </c>
      <c r="C11" s="10">
        <f t="shared" si="3"/>
        <v>42009</v>
      </c>
      <c r="D11" s="43">
        <v>0.32291666666666669</v>
      </c>
      <c r="E11" s="43">
        <v>0.32291666666666669</v>
      </c>
      <c r="F11" s="50"/>
      <c r="G11" s="45"/>
      <c r="H11" s="46" t="str">
        <f t="shared" si="2"/>
        <v/>
      </c>
      <c r="I11" s="46"/>
      <c r="J11" s="46"/>
      <c r="K11" s="148">
        <f t="shared" si="0"/>
        <v>2</v>
      </c>
      <c r="N11" s="13" t="s">
        <v>27</v>
      </c>
      <c r="O11" s="12">
        <f>O5+50</f>
        <v>42149</v>
      </c>
      <c r="P11" s="11">
        <v>8</v>
      </c>
    </row>
    <row r="12" spans="1:16" x14ac:dyDescent="0.25">
      <c r="A12" s="10">
        <f t="shared" si="3"/>
        <v>42010</v>
      </c>
      <c r="B12" s="11" t="str">
        <f t="shared" si="1"/>
        <v>mardi</v>
      </c>
      <c r="C12" s="10">
        <f t="shared" si="3"/>
        <v>42010</v>
      </c>
      <c r="D12" s="43">
        <v>0.31250000000000006</v>
      </c>
      <c r="E12" s="43">
        <v>0.31250000000000006</v>
      </c>
      <c r="F12" s="50"/>
      <c r="G12" s="45"/>
      <c r="H12" s="46" t="str">
        <f t="shared" si="2"/>
        <v/>
      </c>
      <c r="I12" s="46"/>
      <c r="J12" s="46"/>
      <c r="K12" s="148"/>
      <c r="N12" s="11" t="s">
        <v>28</v>
      </c>
      <c r="O12" s="12">
        <f>DATE(saisir_année,7,14)</f>
        <v>42199</v>
      </c>
      <c r="P12" s="11">
        <v>9</v>
      </c>
    </row>
    <row r="13" spans="1:16" x14ac:dyDescent="0.25">
      <c r="A13" s="10">
        <f t="shared" si="3"/>
        <v>42011</v>
      </c>
      <c r="B13" s="11" t="str">
        <f t="shared" si="1"/>
        <v>mercredi</v>
      </c>
      <c r="C13" s="10">
        <f t="shared" si="3"/>
        <v>42011</v>
      </c>
      <c r="D13" s="43">
        <v>0.31250000000000006</v>
      </c>
      <c r="E13" s="43">
        <v>0.31250000000000006</v>
      </c>
      <c r="F13" s="50"/>
      <c r="G13" s="45"/>
      <c r="H13" s="46" t="str">
        <f t="shared" si="2"/>
        <v/>
      </c>
      <c r="I13" s="46"/>
      <c r="J13" s="46"/>
      <c r="K13" s="148"/>
      <c r="N13" s="11" t="s">
        <v>29</v>
      </c>
      <c r="O13" s="12">
        <f>DATE(saisir_année,8,15)</f>
        <v>42231</v>
      </c>
      <c r="P13" s="11">
        <v>10</v>
      </c>
    </row>
    <row r="14" spans="1:16" x14ac:dyDescent="0.25">
      <c r="A14" s="10">
        <f t="shared" si="3"/>
        <v>42012</v>
      </c>
      <c r="B14" s="11" t="str">
        <f t="shared" si="1"/>
        <v>jeudi</v>
      </c>
      <c r="C14" s="10">
        <f t="shared" si="3"/>
        <v>42012</v>
      </c>
      <c r="D14" s="43">
        <v>0.31250000000000006</v>
      </c>
      <c r="E14" s="43">
        <v>0.31250000000000006</v>
      </c>
      <c r="F14" s="50"/>
      <c r="G14" s="45"/>
      <c r="H14" s="46" t="str">
        <f t="shared" si="2"/>
        <v/>
      </c>
      <c r="I14" s="46"/>
      <c r="J14" s="46"/>
      <c r="K14" s="148"/>
      <c r="N14" s="11" t="s">
        <v>30</v>
      </c>
      <c r="O14" s="12">
        <f>DATE(saisir_année,11,1)</f>
        <v>42309</v>
      </c>
      <c r="P14" s="11">
        <v>11</v>
      </c>
    </row>
    <row r="15" spans="1:16" x14ac:dyDescent="0.25">
      <c r="A15" s="10">
        <f t="shared" si="3"/>
        <v>42013</v>
      </c>
      <c r="B15" s="11" t="str">
        <f t="shared" si="1"/>
        <v>vendredi</v>
      </c>
      <c r="C15" s="10">
        <f t="shared" si="3"/>
        <v>42013</v>
      </c>
      <c r="D15" s="43">
        <v>0.32291666666666669</v>
      </c>
      <c r="E15" s="43">
        <v>0.32291666666666669</v>
      </c>
      <c r="F15" s="50"/>
      <c r="G15" s="45"/>
      <c r="H15" s="46" t="str">
        <f t="shared" si="2"/>
        <v/>
      </c>
      <c r="I15" s="46"/>
      <c r="J15" s="46"/>
      <c r="K15" s="148"/>
      <c r="L15" s="16"/>
      <c r="N15" s="11" t="s">
        <v>31</v>
      </c>
      <c r="O15" s="12">
        <f>DATE(saisir_année,11,11)</f>
        <v>42319</v>
      </c>
      <c r="P15" s="11">
        <v>12</v>
      </c>
    </row>
    <row r="16" spans="1:16" x14ac:dyDescent="0.25">
      <c r="A16" s="10">
        <f t="shared" si="3"/>
        <v>42014</v>
      </c>
      <c r="B16" s="11" t="str">
        <f t="shared" si="1"/>
        <v>samedi</v>
      </c>
      <c r="C16" s="10">
        <f t="shared" si="3"/>
        <v>42014</v>
      </c>
      <c r="D16" s="43"/>
      <c r="E16" s="44"/>
      <c r="F16" s="50"/>
      <c r="G16" s="45"/>
      <c r="H16" s="46" t="str">
        <f t="shared" si="2"/>
        <v/>
      </c>
      <c r="I16" s="46"/>
      <c r="J16" s="46"/>
      <c r="K16" s="148"/>
      <c r="L16" s="14"/>
      <c r="N16" s="11" t="s">
        <v>32</v>
      </c>
      <c r="O16" s="12">
        <f>DATE(saisir_année,12,25)</f>
        <v>42363</v>
      </c>
      <c r="P16" s="11">
        <v>13</v>
      </c>
    </row>
    <row r="17" spans="1:17" x14ac:dyDescent="0.25">
      <c r="A17" s="10">
        <f t="shared" si="3"/>
        <v>42015</v>
      </c>
      <c r="B17" s="11" t="str">
        <f t="shared" si="1"/>
        <v>dimanche</v>
      </c>
      <c r="C17" s="10">
        <f t="shared" si="3"/>
        <v>42015</v>
      </c>
      <c r="D17" s="74"/>
      <c r="E17" s="44"/>
      <c r="F17" s="39">
        <f>SUM(E11:E16)</f>
        <v>1.5833333333333335</v>
      </c>
      <c r="G17" s="45"/>
      <c r="H17" s="46" t="str">
        <f t="shared" si="2"/>
        <v/>
      </c>
      <c r="I17" s="57">
        <f>SUM(H11:H16)</f>
        <v>0</v>
      </c>
      <c r="J17" s="46" t="str">
        <f>IF((SUM(E11:E16)&gt;paramètres!$E$20),SUM(E11:E16)-paramètres!$E$20,"")</f>
        <v/>
      </c>
      <c r="K17" s="148"/>
    </row>
    <row r="18" spans="1:17" x14ac:dyDescent="0.25">
      <c r="A18" s="10">
        <f t="shared" si="3"/>
        <v>42016</v>
      </c>
      <c r="B18" s="11" t="str">
        <f t="shared" si="1"/>
        <v>lundi</v>
      </c>
      <c r="C18" s="10">
        <f t="shared" si="3"/>
        <v>42016</v>
      </c>
      <c r="D18" s="43">
        <v>0.32291666666666663</v>
      </c>
      <c r="E18" s="197" t="s">
        <v>44</v>
      </c>
      <c r="F18" s="50"/>
      <c r="G18" s="45" t="s">
        <v>44</v>
      </c>
      <c r="H18" s="46">
        <f t="shared" si="2"/>
        <v>0.32291666666666663</v>
      </c>
      <c r="I18" s="46"/>
      <c r="J18" s="46"/>
      <c r="K18" s="148">
        <f t="shared" si="0"/>
        <v>3</v>
      </c>
    </row>
    <row r="19" spans="1:17" x14ac:dyDescent="0.25">
      <c r="A19" s="10">
        <f t="shared" si="3"/>
        <v>42017</v>
      </c>
      <c r="B19" s="11" t="str">
        <f t="shared" si="1"/>
        <v>mardi</v>
      </c>
      <c r="C19" s="10">
        <f t="shared" si="3"/>
        <v>42017</v>
      </c>
      <c r="D19" s="43" t="s">
        <v>11</v>
      </c>
      <c r="E19" s="43"/>
      <c r="F19" s="50"/>
      <c r="G19" s="45" t="s">
        <v>44</v>
      </c>
      <c r="H19" s="46" t="str">
        <f t="shared" si="2"/>
        <v>CP</v>
      </c>
      <c r="I19" s="46"/>
      <c r="J19" s="46"/>
      <c r="K19" s="148"/>
      <c r="L19" s="19"/>
      <c r="M19" s="19"/>
    </row>
    <row r="20" spans="1:17" x14ac:dyDescent="0.25">
      <c r="A20" s="10">
        <f t="shared" si="3"/>
        <v>42018</v>
      </c>
      <c r="B20" s="11" t="str">
        <f t="shared" si="1"/>
        <v>mercredi</v>
      </c>
      <c r="C20" s="10">
        <f t="shared" si="3"/>
        <v>42018</v>
      </c>
      <c r="D20" s="43">
        <v>0.31250000000000006</v>
      </c>
      <c r="E20" s="43"/>
      <c r="F20" s="50"/>
      <c r="G20" s="45" t="s">
        <v>44</v>
      </c>
      <c r="H20" s="46">
        <f t="shared" si="2"/>
        <v>0.31250000000000006</v>
      </c>
      <c r="I20" s="46"/>
      <c r="J20" s="46"/>
      <c r="K20" s="148"/>
      <c r="L20" s="19"/>
      <c r="M20" s="70"/>
    </row>
    <row r="21" spans="1:17" x14ac:dyDescent="0.25">
      <c r="A21" s="10">
        <f t="shared" si="3"/>
        <v>42019</v>
      </c>
      <c r="B21" s="11" t="str">
        <f t="shared" si="1"/>
        <v>jeudi</v>
      </c>
      <c r="C21" s="10">
        <f t="shared" si="3"/>
        <v>42019</v>
      </c>
      <c r="D21" s="43">
        <v>0.31250000000000006</v>
      </c>
      <c r="E21" s="43"/>
      <c r="F21" s="50"/>
      <c r="G21" s="45" t="s">
        <v>44</v>
      </c>
      <c r="H21" s="46">
        <f t="shared" si="2"/>
        <v>0.31250000000000006</v>
      </c>
      <c r="I21" s="46"/>
      <c r="J21" s="46"/>
      <c r="K21" s="148"/>
      <c r="L21" s="19"/>
      <c r="M21" s="70"/>
    </row>
    <row r="22" spans="1:17" x14ac:dyDescent="0.25">
      <c r="A22" s="10">
        <f t="shared" si="3"/>
        <v>42020</v>
      </c>
      <c r="B22" s="11" t="str">
        <f t="shared" si="1"/>
        <v>vendredi</v>
      </c>
      <c r="C22" s="10">
        <f t="shared" si="3"/>
        <v>42020</v>
      </c>
      <c r="D22" s="43">
        <v>0.32291666666666669</v>
      </c>
      <c r="E22" s="43"/>
      <c r="F22" s="50"/>
      <c r="G22" s="45" t="s">
        <v>44</v>
      </c>
      <c r="H22" s="46">
        <f t="shared" si="2"/>
        <v>0.32291666666666669</v>
      </c>
      <c r="I22" s="46"/>
      <c r="J22" s="46"/>
      <c r="K22" s="148"/>
      <c r="L22" s="19"/>
      <c r="M22" s="70"/>
    </row>
    <row r="23" spans="1:17" ht="15.75" x14ac:dyDescent="0.3">
      <c r="A23" s="10">
        <f t="shared" si="3"/>
        <v>42021</v>
      </c>
      <c r="B23" s="11" t="str">
        <f t="shared" si="1"/>
        <v>samedi</v>
      </c>
      <c r="C23" s="10">
        <f t="shared" si="3"/>
        <v>42021</v>
      </c>
      <c r="D23" s="43"/>
      <c r="E23" s="44"/>
      <c r="F23" s="50"/>
      <c r="G23" s="45"/>
      <c r="H23" s="46" t="str">
        <f t="shared" si="2"/>
        <v/>
      </c>
      <c r="I23" s="46"/>
      <c r="J23" s="46"/>
      <c r="K23" s="148"/>
      <c r="L23" s="19"/>
      <c r="M23" s="71"/>
    </row>
    <row r="24" spans="1:17" x14ac:dyDescent="0.25">
      <c r="A24" s="10">
        <f t="shared" si="3"/>
        <v>42022</v>
      </c>
      <c r="B24" s="11" t="str">
        <f t="shared" si="1"/>
        <v>dimanche</v>
      </c>
      <c r="C24" s="10">
        <f t="shared" si="3"/>
        <v>42022</v>
      </c>
      <c r="D24" s="43"/>
      <c r="E24" s="44"/>
      <c r="F24" s="39">
        <f>SUM(E18:E23)</f>
        <v>0</v>
      </c>
      <c r="G24" s="45"/>
      <c r="H24" s="46" t="str">
        <f t="shared" si="2"/>
        <v/>
      </c>
      <c r="I24" s="57">
        <f>SUM(H18:H23)</f>
        <v>1.2708333333333335</v>
      </c>
      <c r="J24" s="46" t="str">
        <f>IF((SUM(E18:E23)&gt;paramètres!$E$20),SUM(E18:E23)-paramètres!$E$20,"")</f>
        <v/>
      </c>
      <c r="K24" s="148"/>
      <c r="L24" s="19"/>
      <c r="M24" s="72"/>
    </row>
    <row r="25" spans="1:17" x14ac:dyDescent="0.25">
      <c r="A25" s="10">
        <f t="shared" si="3"/>
        <v>42023</v>
      </c>
      <c r="B25" s="11" t="str">
        <f t="shared" si="1"/>
        <v>lundi</v>
      </c>
      <c r="C25" s="10">
        <f t="shared" si="3"/>
        <v>42023</v>
      </c>
      <c r="D25" s="43">
        <v>0.32291666666666663</v>
      </c>
      <c r="E25" s="43">
        <v>0.32291666666666663</v>
      </c>
      <c r="F25" s="50"/>
      <c r="G25" s="45"/>
      <c r="H25" s="46" t="str">
        <f t="shared" si="2"/>
        <v/>
      </c>
      <c r="I25" s="46"/>
      <c r="J25" s="46"/>
      <c r="K25" s="148">
        <f t="shared" si="0"/>
        <v>4</v>
      </c>
      <c r="L25" s="19"/>
      <c r="M25" s="19"/>
    </row>
    <row r="26" spans="1:17" x14ac:dyDescent="0.25">
      <c r="A26" s="10">
        <f t="shared" si="3"/>
        <v>42024</v>
      </c>
      <c r="B26" s="11" t="str">
        <f t="shared" si="1"/>
        <v>mardi</v>
      </c>
      <c r="C26" s="10">
        <f t="shared" si="3"/>
        <v>42024</v>
      </c>
      <c r="D26" s="43">
        <v>0.31250000000000006</v>
      </c>
      <c r="E26" s="43">
        <v>0.31250000000000006</v>
      </c>
      <c r="F26" s="50"/>
      <c r="G26" s="45"/>
      <c r="H26" s="46" t="str">
        <f t="shared" si="2"/>
        <v/>
      </c>
      <c r="I26" s="46"/>
      <c r="J26" s="46"/>
      <c r="K26" s="148"/>
      <c r="L26" s="19"/>
      <c r="M26" s="72"/>
    </row>
    <row r="27" spans="1:17" x14ac:dyDescent="0.25">
      <c r="A27" s="10">
        <f t="shared" si="3"/>
        <v>42025</v>
      </c>
      <c r="B27" s="11" t="str">
        <f t="shared" si="1"/>
        <v>mercredi</v>
      </c>
      <c r="C27" s="10">
        <f t="shared" si="3"/>
        <v>42025</v>
      </c>
      <c r="D27" s="43">
        <v>0.31250000000000006</v>
      </c>
      <c r="E27" s="43">
        <v>0.31250000000000006</v>
      </c>
      <c r="F27" s="50"/>
      <c r="G27" s="45"/>
      <c r="H27" s="46" t="str">
        <f t="shared" si="2"/>
        <v/>
      </c>
      <c r="I27" s="46"/>
      <c r="J27" s="46"/>
      <c r="K27" s="148"/>
      <c r="L27" s="19"/>
      <c r="M27" s="72"/>
      <c r="Q27" s="16"/>
    </row>
    <row r="28" spans="1:17" x14ac:dyDescent="0.25">
      <c r="A28" s="10">
        <f t="shared" si="3"/>
        <v>42026</v>
      </c>
      <c r="B28" s="11" t="str">
        <f t="shared" si="1"/>
        <v>jeudi</v>
      </c>
      <c r="C28" s="10">
        <f t="shared" si="3"/>
        <v>42026</v>
      </c>
      <c r="D28" s="43">
        <v>0.31250000000000006</v>
      </c>
      <c r="E28" s="43">
        <v>0.31250000000000006</v>
      </c>
      <c r="F28" s="50"/>
      <c r="G28" s="45"/>
      <c r="H28" s="46" t="str">
        <f t="shared" si="2"/>
        <v/>
      </c>
      <c r="I28" s="46"/>
      <c r="J28" s="46"/>
      <c r="K28" s="148"/>
      <c r="L28" s="19"/>
      <c r="M28" s="72"/>
    </row>
    <row r="29" spans="1:17" x14ac:dyDescent="0.25">
      <c r="A29" s="10">
        <f t="shared" si="3"/>
        <v>42027</v>
      </c>
      <c r="B29" s="11" t="str">
        <f t="shared" si="1"/>
        <v>vendredi</v>
      </c>
      <c r="C29" s="10">
        <f t="shared" si="3"/>
        <v>42027</v>
      </c>
      <c r="D29" s="43">
        <v>0.32291666666666669</v>
      </c>
      <c r="E29" s="43">
        <v>0.32291666666666669</v>
      </c>
      <c r="F29" s="50"/>
      <c r="G29" s="45"/>
      <c r="H29" s="46" t="str">
        <f t="shared" si="2"/>
        <v/>
      </c>
      <c r="I29" s="46"/>
      <c r="J29" s="46"/>
      <c r="K29" s="148"/>
    </row>
    <row r="30" spans="1:17" x14ac:dyDescent="0.25">
      <c r="A30" s="10">
        <f t="shared" si="3"/>
        <v>42028</v>
      </c>
      <c r="B30" s="11" t="str">
        <f t="shared" si="1"/>
        <v>samedi</v>
      </c>
      <c r="C30" s="10">
        <f t="shared" si="3"/>
        <v>42028</v>
      </c>
      <c r="D30" s="43"/>
      <c r="E30" s="44"/>
      <c r="F30" s="50"/>
      <c r="G30" s="45"/>
      <c r="H30" s="46" t="str">
        <f t="shared" si="2"/>
        <v/>
      </c>
      <c r="I30" s="46"/>
      <c r="J30" s="46"/>
      <c r="K30" s="148"/>
    </row>
    <row r="31" spans="1:17" x14ac:dyDescent="0.25">
      <c r="A31" s="10">
        <f t="shared" si="3"/>
        <v>42029</v>
      </c>
      <c r="B31" s="11" t="str">
        <f t="shared" si="1"/>
        <v>dimanche</v>
      </c>
      <c r="C31" s="10">
        <f t="shared" si="3"/>
        <v>42029</v>
      </c>
      <c r="D31" s="43"/>
      <c r="E31" s="44"/>
      <c r="F31" s="39">
        <f>SUM(E25:E30)</f>
        <v>1.5833333333333335</v>
      </c>
      <c r="G31" s="45"/>
      <c r="H31" s="46" t="str">
        <f t="shared" si="2"/>
        <v/>
      </c>
      <c r="I31" s="57">
        <f>SUM(H25:H30)</f>
        <v>0</v>
      </c>
      <c r="J31" s="46" t="str">
        <f>IF((SUM(E25:E30)&gt;paramètres!$E$20),SUM(E25:E30)-paramètres!$E$20,"")</f>
        <v/>
      </c>
      <c r="K31" s="148"/>
    </row>
    <row r="32" spans="1:17" x14ac:dyDescent="0.25">
      <c r="A32" s="10">
        <f t="shared" si="3"/>
        <v>42030</v>
      </c>
      <c r="B32" s="11" t="str">
        <f t="shared" si="1"/>
        <v>lundi</v>
      </c>
      <c r="C32" s="10">
        <f t="shared" si="3"/>
        <v>42030</v>
      </c>
      <c r="D32" s="43">
        <v>0.32291666666666663</v>
      </c>
      <c r="E32" s="43">
        <v>0.32291666666666663</v>
      </c>
      <c r="F32" s="50"/>
      <c r="G32" s="45"/>
      <c r="H32" s="46" t="str">
        <f t="shared" si="2"/>
        <v/>
      </c>
      <c r="I32" s="46"/>
      <c r="J32" s="46"/>
      <c r="K32" s="148">
        <f t="shared" si="0"/>
        <v>5</v>
      </c>
    </row>
    <row r="33" spans="1:11" x14ac:dyDescent="0.25">
      <c r="A33" s="10">
        <f t="shared" si="3"/>
        <v>42031</v>
      </c>
      <c r="B33" s="11" t="str">
        <f t="shared" si="1"/>
        <v>mardi</v>
      </c>
      <c r="C33" s="10">
        <f t="shared" si="3"/>
        <v>42031</v>
      </c>
      <c r="D33" s="43">
        <v>0.31250000000000006</v>
      </c>
      <c r="E33" s="43">
        <v>0.31250000000000006</v>
      </c>
      <c r="F33" s="50"/>
      <c r="G33" s="45"/>
      <c r="H33" s="46" t="str">
        <f t="shared" si="2"/>
        <v/>
      </c>
      <c r="I33" s="46"/>
      <c r="J33" s="46"/>
      <c r="K33" s="148"/>
    </row>
    <row r="34" spans="1:11" x14ac:dyDescent="0.25">
      <c r="A34" s="10">
        <f t="shared" si="3"/>
        <v>42032</v>
      </c>
      <c r="B34" s="11" t="str">
        <f t="shared" si="1"/>
        <v>mercredi</v>
      </c>
      <c r="C34" s="10">
        <f t="shared" si="3"/>
        <v>42032</v>
      </c>
      <c r="D34" s="43">
        <v>0.31250000000000006</v>
      </c>
      <c r="E34" s="43">
        <v>0.31250000000000006</v>
      </c>
      <c r="F34" s="50"/>
      <c r="G34" s="45"/>
      <c r="H34" s="46" t="str">
        <f t="shared" si="2"/>
        <v/>
      </c>
      <c r="I34" s="46"/>
      <c r="J34" s="46"/>
      <c r="K34" s="148"/>
    </row>
    <row r="35" spans="1:11" x14ac:dyDescent="0.25">
      <c r="A35" s="10">
        <f t="shared" si="3"/>
        <v>42033</v>
      </c>
      <c r="B35" s="11" t="str">
        <f t="shared" si="1"/>
        <v>jeudi</v>
      </c>
      <c r="C35" s="10">
        <f t="shared" si="3"/>
        <v>42033</v>
      </c>
      <c r="D35" s="43">
        <v>0.31250000000000006</v>
      </c>
      <c r="E35" s="43">
        <v>0.31250000000000006</v>
      </c>
      <c r="F35" s="50"/>
      <c r="G35" s="45"/>
      <c r="H35" s="46" t="str">
        <f t="shared" si="2"/>
        <v/>
      </c>
      <c r="I35" s="46"/>
      <c r="J35" s="46"/>
      <c r="K35" s="148"/>
    </row>
    <row r="36" spans="1:11" x14ac:dyDescent="0.25">
      <c r="A36" s="10">
        <f t="shared" si="3"/>
        <v>42034</v>
      </c>
      <c r="B36" s="11" t="str">
        <f t="shared" si="1"/>
        <v>vendredi</v>
      </c>
      <c r="C36" s="10">
        <f t="shared" si="3"/>
        <v>42034</v>
      </c>
      <c r="D36" s="43">
        <v>0.32291666666666669</v>
      </c>
      <c r="E36" s="43">
        <v>0.32291666666666669</v>
      </c>
      <c r="F36" s="50"/>
      <c r="G36" s="45"/>
      <c r="H36" s="46" t="str">
        <f t="shared" si="2"/>
        <v/>
      </c>
      <c r="I36" s="46"/>
      <c r="J36" s="46"/>
      <c r="K36" s="148"/>
    </row>
    <row r="37" spans="1:11" x14ac:dyDescent="0.25">
      <c r="A37" s="10">
        <f t="shared" si="3"/>
        <v>42035</v>
      </c>
      <c r="B37" s="11" t="str">
        <f t="shared" si="1"/>
        <v>samedi</v>
      </c>
      <c r="C37" s="10">
        <f t="shared" si="3"/>
        <v>42035</v>
      </c>
      <c r="D37" s="43"/>
      <c r="E37" s="44"/>
      <c r="F37" s="50"/>
      <c r="G37" s="45"/>
      <c r="H37" s="46" t="str">
        <f t="shared" si="2"/>
        <v/>
      </c>
      <c r="I37" s="46"/>
      <c r="J37" s="46"/>
      <c r="K37" s="148"/>
    </row>
    <row r="38" spans="1:11" x14ac:dyDescent="0.25">
      <c r="A38" s="10">
        <f t="shared" si="3"/>
        <v>42036</v>
      </c>
      <c r="B38" s="11" t="str">
        <f t="shared" si="1"/>
        <v>dimanche</v>
      </c>
      <c r="C38" s="10">
        <f t="shared" si="3"/>
        <v>42036</v>
      </c>
      <c r="D38" s="43"/>
      <c r="E38" s="44"/>
      <c r="F38" s="39">
        <f>SUM(E32:E37)</f>
        <v>1.5833333333333335</v>
      </c>
      <c r="G38" s="45"/>
      <c r="H38" s="46" t="str">
        <f t="shared" si="2"/>
        <v/>
      </c>
      <c r="I38" s="57">
        <f>SUM(H32:H37)</f>
        <v>0</v>
      </c>
      <c r="J38" s="46" t="str">
        <f>IF((SUM(E32:E37)&gt;paramètres!$E$20),SUM(E32:E37)-paramètres!$E$20,"")</f>
        <v/>
      </c>
      <c r="K38" s="148"/>
    </row>
    <row r="39" spans="1:11" x14ac:dyDescent="0.25">
      <c r="A39" s="10">
        <f t="shared" si="3"/>
        <v>42037</v>
      </c>
      <c r="B39" s="11" t="str">
        <f t="shared" si="1"/>
        <v>lundi</v>
      </c>
      <c r="C39" s="10">
        <f t="shared" si="3"/>
        <v>42037</v>
      </c>
      <c r="D39" s="43">
        <v>0.32291666666666663</v>
      </c>
      <c r="E39" s="43">
        <v>0.32291666666666663</v>
      </c>
      <c r="F39" s="50"/>
      <c r="G39" s="45"/>
      <c r="H39" s="46" t="str">
        <f t="shared" si="2"/>
        <v/>
      </c>
      <c r="I39" s="46"/>
      <c r="J39" s="46"/>
      <c r="K39" s="148">
        <f t="shared" si="0"/>
        <v>6</v>
      </c>
    </row>
    <row r="40" spans="1:11" x14ac:dyDescent="0.25">
      <c r="A40" s="10">
        <f t="shared" si="3"/>
        <v>42038</v>
      </c>
      <c r="B40" s="11" t="str">
        <f t="shared" si="1"/>
        <v>mardi</v>
      </c>
      <c r="C40" s="10">
        <f t="shared" si="3"/>
        <v>42038</v>
      </c>
      <c r="D40" s="43">
        <v>0.31250000000000006</v>
      </c>
      <c r="E40" s="43">
        <v>0.31250000000000006</v>
      </c>
      <c r="F40" s="50"/>
      <c r="G40" s="45"/>
      <c r="H40" s="46" t="str">
        <f t="shared" si="2"/>
        <v/>
      </c>
      <c r="I40" s="46"/>
      <c r="J40" s="46"/>
      <c r="K40" s="148"/>
    </row>
    <row r="41" spans="1:11" x14ac:dyDescent="0.25">
      <c r="A41" s="10">
        <f t="shared" si="3"/>
        <v>42039</v>
      </c>
      <c r="B41" s="11" t="str">
        <f t="shared" si="1"/>
        <v>mercredi</v>
      </c>
      <c r="C41" s="10">
        <f t="shared" si="3"/>
        <v>42039</v>
      </c>
      <c r="D41" s="43">
        <v>0.31250000000000006</v>
      </c>
      <c r="E41" s="43">
        <v>0.31250000000000006</v>
      </c>
      <c r="F41" s="50"/>
      <c r="G41" s="45"/>
      <c r="H41" s="46" t="str">
        <f t="shared" si="2"/>
        <v/>
      </c>
      <c r="I41" s="46"/>
      <c r="J41" s="46"/>
      <c r="K41" s="148"/>
    </row>
    <row r="42" spans="1:11" x14ac:dyDescent="0.25">
      <c r="A42" s="10">
        <f t="shared" si="3"/>
        <v>42040</v>
      </c>
      <c r="B42" s="11" t="str">
        <f t="shared" si="1"/>
        <v>jeudi</v>
      </c>
      <c r="C42" s="10">
        <f t="shared" si="3"/>
        <v>42040</v>
      </c>
      <c r="D42" s="43">
        <v>0.31250000000000006</v>
      </c>
      <c r="E42" s="43">
        <v>0.3125</v>
      </c>
      <c r="F42" s="50"/>
      <c r="G42" s="45"/>
      <c r="H42" s="46" t="str">
        <f t="shared" si="2"/>
        <v/>
      </c>
      <c r="I42" s="46"/>
      <c r="J42" s="46"/>
      <c r="K42" s="148"/>
    </row>
    <row r="43" spans="1:11" x14ac:dyDescent="0.25">
      <c r="A43" s="10">
        <f t="shared" si="3"/>
        <v>42041</v>
      </c>
      <c r="B43" s="11" t="str">
        <f t="shared" si="1"/>
        <v>vendredi</v>
      </c>
      <c r="C43" s="10">
        <f t="shared" si="3"/>
        <v>42041</v>
      </c>
      <c r="D43" s="43">
        <v>0.32291666666666669</v>
      </c>
      <c r="E43" s="43">
        <v>0.32291666666666669</v>
      </c>
      <c r="F43" s="50"/>
      <c r="G43" s="45"/>
      <c r="H43" s="46" t="str">
        <f t="shared" si="2"/>
        <v/>
      </c>
      <c r="I43" s="46"/>
      <c r="J43" s="46"/>
      <c r="K43" s="148"/>
    </row>
    <row r="44" spans="1:11" x14ac:dyDescent="0.25">
      <c r="A44" s="10">
        <f t="shared" si="3"/>
        <v>42042</v>
      </c>
      <c r="B44" s="11" t="str">
        <f t="shared" si="1"/>
        <v>samedi</v>
      </c>
      <c r="C44" s="10">
        <f t="shared" si="3"/>
        <v>42042</v>
      </c>
      <c r="D44" s="43"/>
      <c r="E44" s="44"/>
      <c r="F44" s="50"/>
      <c r="G44" s="45"/>
      <c r="H44" s="46" t="str">
        <f t="shared" si="2"/>
        <v/>
      </c>
      <c r="I44" s="46"/>
      <c r="J44" s="46"/>
      <c r="K44" s="148"/>
    </row>
    <row r="45" spans="1:11" x14ac:dyDescent="0.25">
      <c r="A45" s="10">
        <f t="shared" si="3"/>
        <v>42043</v>
      </c>
      <c r="B45" s="11" t="str">
        <f t="shared" si="1"/>
        <v>dimanche</v>
      </c>
      <c r="C45" s="10">
        <f t="shared" si="3"/>
        <v>42043</v>
      </c>
      <c r="D45" s="43"/>
      <c r="E45" s="44"/>
      <c r="F45" s="39">
        <f>SUM(E39:E44)</f>
        <v>1.5833333333333335</v>
      </c>
      <c r="G45" s="45"/>
      <c r="H45" s="46" t="str">
        <f t="shared" si="2"/>
        <v/>
      </c>
      <c r="I45" s="57">
        <f>SUM(H39:H44)</f>
        <v>0</v>
      </c>
      <c r="J45" s="46" t="str">
        <f>IF((SUM(E39:E44)&gt;paramètres!$E$20),SUM(E39:E44)-paramètres!$E$20,"")</f>
        <v/>
      </c>
      <c r="K45" s="148"/>
    </row>
    <row r="46" spans="1:11" x14ac:dyDescent="0.25">
      <c r="A46" s="10">
        <f t="shared" si="3"/>
        <v>42044</v>
      </c>
      <c r="B46" s="11" t="str">
        <f t="shared" si="1"/>
        <v>lundi</v>
      </c>
      <c r="C46" s="10">
        <f t="shared" si="3"/>
        <v>42044</v>
      </c>
      <c r="D46" s="43">
        <v>0.32291666666666663</v>
      </c>
      <c r="E46" s="44"/>
      <c r="F46" s="50"/>
      <c r="G46" s="45"/>
      <c r="H46" s="46" t="str">
        <f t="shared" si="2"/>
        <v/>
      </c>
      <c r="I46" s="46"/>
      <c r="J46" s="46"/>
      <c r="K46" s="148">
        <f t="shared" si="0"/>
        <v>7</v>
      </c>
    </row>
    <row r="47" spans="1:11" x14ac:dyDescent="0.25">
      <c r="A47" s="10">
        <f t="shared" si="3"/>
        <v>42045</v>
      </c>
      <c r="B47" s="11" t="str">
        <f t="shared" si="1"/>
        <v>mardi</v>
      </c>
      <c r="C47" s="10">
        <f t="shared" si="3"/>
        <v>42045</v>
      </c>
      <c r="D47" s="43">
        <v>0.31250000000000006</v>
      </c>
      <c r="E47" s="44"/>
      <c r="F47" s="50"/>
      <c r="G47" s="45"/>
      <c r="H47" s="46" t="str">
        <f t="shared" si="2"/>
        <v/>
      </c>
      <c r="I47" s="46"/>
      <c r="J47" s="46"/>
      <c r="K47" s="148"/>
    </row>
    <row r="48" spans="1:11" x14ac:dyDescent="0.25">
      <c r="A48" s="10">
        <f t="shared" si="3"/>
        <v>42046</v>
      </c>
      <c r="B48" s="11" t="str">
        <f t="shared" si="1"/>
        <v>mercredi</v>
      </c>
      <c r="C48" s="10">
        <f t="shared" si="3"/>
        <v>42046</v>
      </c>
      <c r="D48" s="43">
        <v>0.31250000000000006</v>
      </c>
      <c r="E48" s="44"/>
      <c r="F48" s="50"/>
      <c r="G48" s="45"/>
      <c r="H48" s="46" t="str">
        <f t="shared" si="2"/>
        <v/>
      </c>
      <c r="I48" s="46"/>
      <c r="J48" s="46"/>
      <c r="K48" s="148"/>
    </row>
    <row r="49" spans="1:11" x14ac:dyDescent="0.25">
      <c r="A49" s="10">
        <f t="shared" si="3"/>
        <v>42047</v>
      </c>
      <c r="B49" s="11" t="str">
        <f t="shared" si="1"/>
        <v>jeudi</v>
      </c>
      <c r="C49" s="10">
        <f t="shared" si="3"/>
        <v>42047</v>
      </c>
      <c r="D49" s="43">
        <v>0.31250000000000006</v>
      </c>
      <c r="E49" s="44"/>
      <c r="F49" s="50"/>
      <c r="G49" s="45"/>
      <c r="H49" s="46" t="str">
        <f t="shared" si="2"/>
        <v/>
      </c>
      <c r="I49" s="46"/>
      <c r="J49" s="46"/>
      <c r="K49" s="148"/>
    </row>
    <row r="50" spans="1:11" x14ac:dyDescent="0.25">
      <c r="A50" s="10">
        <f t="shared" si="3"/>
        <v>42048</v>
      </c>
      <c r="B50" s="11" t="str">
        <f t="shared" si="1"/>
        <v>vendredi</v>
      </c>
      <c r="C50" s="10">
        <f t="shared" si="3"/>
        <v>42048</v>
      </c>
      <c r="D50" s="43">
        <v>0.32291666666666669</v>
      </c>
      <c r="E50" s="44"/>
      <c r="F50" s="50"/>
      <c r="G50" s="45"/>
      <c r="H50" s="46" t="str">
        <f t="shared" si="2"/>
        <v/>
      </c>
      <c r="I50" s="46"/>
      <c r="J50" s="46"/>
      <c r="K50" s="148"/>
    </row>
    <row r="51" spans="1:11" x14ac:dyDescent="0.25">
      <c r="A51" s="10">
        <f t="shared" si="3"/>
        <v>42049</v>
      </c>
      <c r="B51" s="11" t="str">
        <f t="shared" si="1"/>
        <v>samedi</v>
      </c>
      <c r="C51" s="10">
        <f t="shared" si="3"/>
        <v>42049</v>
      </c>
      <c r="D51" s="43"/>
      <c r="E51" s="44"/>
      <c r="F51" s="50"/>
      <c r="G51" s="45"/>
      <c r="H51" s="46" t="str">
        <f t="shared" si="2"/>
        <v/>
      </c>
      <c r="I51" s="46"/>
      <c r="J51" s="46"/>
      <c r="K51" s="148"/>
    </row>
    <row r="52" spans="1:11" x14ac:dyDescent="0.25">
      <c r="A52" s="10">
        <f t="shared" si="3"/>
        <v>42050</v>
      </c>
      <c r="B52" s="11" t="str">
        <f t="shared" si="1"/>
        <v>dimanche</v>
      </c>
      <c r="C52" s="10">
        <f t="shared" si="3"/>
        <v>42050</v>
      </c>
      <c r="D52" s="43"/>
      <c r="E52" s="44"/>
      <c r="F52" s="39">
        <f>SUM(E46:E51)</f>
        <v>0</v>
      </c>
      <c r="G52" s="45"/>
      <c r="H52" s="46" t="str">
        <f t="shared" si="2"/>
        <v/>
      </c>
      <c r="I52" s="57">
        <f>SUM(H46:H51)</f>
        <v>0</v>
      </c>
      <c r="J52" s="46" t="str">
        <f>IF((SUM(E46:E51)&gt;paramètres!$E$20),SUM(E46:E51)-paramètres!$E$20,"")</f>
        <v/>
      </c>
      <c r="K52" s="148"/>
    </row>
    <row r="53" spans="1:11" x14ac:dyDescent="0.25">
      <c r="A53" s="10">
        <f t="shared" si="3"/>
        <v>42051</v>
      </c>
      <c r="B53" s="11" t="str">
        <f t="shared" si="1"/>
        <v>lundi</v>
      </c>
      <c r="C53" s="10">
        <f t="shared" si="3"/>
        <v>42051</v>
      </c>
      <c r="D53" s="43">
        <v>0.32291666666666663</v>
      </c>
      <c r="E53" s="44"/>
      <c r="F53" s="50"/>
      <c r="G53" s="45"/>
      <c r="H53" s="46" t="str">
        <f t="shared" si="2"/>
        <v/>
      </c>
      <c r="I53" s="46"/>
      <c r="J53" s="46"/>
      <c r="K53" s="148">
        <f t="shared" si="0"/>
        <v>8</v>
      </c>
    </row>
    <row r="54" spans="1:11" x14ac:dyDescent="0.25">
      <c r="A54" s="10">
        <f t="shared" si="3"/>
        <v>42052</v>
      </c>
      <c r="B54" s="11" t="str">
        <f t="shared" si="1"/>
        <v>mardi</v>
      </c>
      <c r="C54" s="10">
        <f t="shared" si="3"/>
        <v>42052</v>
      </c>
      <c r="D54" s="43">
        <v>0.31250000000000006</v>
      </c>
      <c r="E54" s="44"/>
      <c r="F54" s="50"/>
      <c r="G54" s="45"/>
      <c r="H54" s="46" t="str">
        <f t="shared" si="2"/>
        <v/>
      </c>
      <c r="I54" s="46"/>
      <c r="J54" s="46"/>
      <c r="K54" s="148"/>
    </row>
    <row r="55" spans="1:11" x14ac:dyDescent="0.25">
      <c r="A55" s="10">
        <f t="shared" si="3"/>
        <v>42053</v>
      </c>
      <c r="B55" s="11" t="str">
        <f t="shared" si="1"/>
        <v>mercredi</v>
      </c>
      <c r="C55" s="10">
        <f t="shared" si="3"/>
        <v>42053</v>
      </c>
      <c r="D55" s="43">
        <v>0.31250000000000006</v>
      </c>
      <c r="E55" s="44"/>
      <c r="F55" s="50"/>
      <c r="G55" s="45"/>
      <c r="H55" s="46" t="str">
        <f t="shared" si="2"/>
        <v/>
      </c>
      <c r="I55" s="46"/>
      <c r="J55" s="46"/>
      <c r="K55" s="148"/>
    </row>
    <row r="56" spans="1:11" x14ac:dyDescent="0.25">
      <c r="A56" s="10">
        <f t="shared" si="3"/>
        <v>42054</v>
      </c>
      <c r="B56" s="11" t="str">
        <f t="shared" si="1"/>
        <v>jeudi</v>
      </c>
      <c r="C56" s="10">
        <f t="shared" si="3"/>
        <v>42054</v>
      </c>
      <c r="D56" s="43">
        <v>0.31250000000000006</v>
      </c>
      <c r="E56" s="44"/>
      <c r="F56" s="50"/>
      <c r="G56" s="45"/>
      <c r="H56" s="46" t="str">
        <f t="shared" si="2"/>
        <v/>
      </c>
      <c r="I56" s="46"/>
      <c r="J56" s="46"/>
      <c r="K56" s="148"/>
    </row>
    <row r="57" spans="1:11" x14ac:dyDescent="0.25">
      <c r="A57" s="10">
        <f t="shared" si="3"/>
        <v>42055</v>
      </c>
      <c r="B57" s="11" t="str">
        <f t="shared" si="1"/>
        <v>vendredi</v>
      </c>
      <c r="C57" s="10">
        <f t="shared" si="3"/>
        <v>42055</v>
      </c>
      <c r="D57" s="43">
        <v>0.32291666666666669</v>
      </c>
      <c r="E57" s="44"/>
      <c r="F57" s="50"/>
      <c r="G57" s="45"/>
      <c r="H57" s="46" t="str">
        <f t="shared" si="2"/>
        <v/>
      </c>
      <c r="I57" s="46"/>
      <c r="J57" s="46"/>
      <c r="K57" s="148"/>
    </row>
    <row r="58" spans="1:11" x14ac:dyDescent="0.25">
      <c r="A58" s="10">
        <f t="shared" si="3"/>
        <v>42056</v>
      </c>
      <c r="B58" s="11" t="str">
        <f t="shared" si="1"/>
        <v>samedi</v>
      </c>
      <c r="C58" s="10">
        <f t="shared" si="3"/>
        <v>42056</v>
      </c>
      <c r="D58" s="43"/>
      <c r="E58" s="44"/>
      <c r="F58" s="50"/>
      <c r="G58" s="45"/>
      <c r="H58" s="46" t="str">
        <f t="shared" si="2"/>
        <v/>
      </c>
      <c r="I58" s="46"/>
      <c r="J58" s="46"/>
      <c r="K58" s="148"/>
    </row>
    <row r="59" spans="1:11" x14ac:dyDescent="0.25">
      <c r="A59" s="10">
        <f t="shared" si="3"/>
        <v>42057</v>
      </c>
      <c r="B59" s="11" t="str">
        <f t="shared" si="1"/>
        <v>dimanche</v>
      </c>
      <c r="C59" s="10">
        <f t="shared" si="3"/>
        <v>42057</v>
      </c>
      <c r="D59" s="43"/>
      <c r="E59" s="44"/>
      <c r="F59" s="39">
        <f>SUM(E53:E58)</f>
        <v>0</v>
      </c>
      <c r="G59" s="45"/>
      <c r="H59" s="46" t="str">
        <f t="shared" si="2"/>
        <v/>
      </c>
      <c r="I59" s="57">
        <f>SUM(H53:H58)</f>
        <v>0</v>
      </c>
      <c r="J59" s="46" t="str">
        <f>IF((SUM(E53:E58)&gt;paramètres!$E$20),SUM(E53:E58)-paramètres!$E$20,"")</f>
        <v/>
      </c>
      <c r="K59" s="148"/>
    </row>
    <row r="60" spans="1:11" x14ac:dyDescent="0.25">
      <c r="A60" s="10">
        <f t="shared" si="3"/>
        <v>42058</v>
      </c>
      <c r="B60" s="11" t="str">
        <f t="shared" si="1"/>
        <v>lundi</v>
      </c>
      <c r="C60" s="10">
        <f t="shared" si="3"/>
        <v>42058</v>
      </c>
      <c r="D60" s="43" t="s">
        <v>51</v>
      </c>
      <c r="E60" s="44"/>
      <c r="F60" s="50"/>
      <c r="G60" s="45" t="s">
        <v>13</v>
      </c>
      <c r="H60" s="46" t="str">
        <f t="shared" si="2"/>
        <v/>
      </c>
      <c r="I60" s="46"/>
      <c r="J60" s="46"/>
      <c r="K60" s="148">
        <f t="shared" si="0"/>
        <v>9</v>
      </c>
    </row>
    <row r="61" spans="1:11" x14ac:dyDescent="0.25">
      <c r="A61" s="10">
        <f t="shared" si="3"/>
        <v>42059</v>
      </c>
      <c r="B61" s="11" t="str">
        <f t="shared" si="1"/>
        <v>mardi</v>
      </c>
      <c r="C61" s="10">
        <f t="shared" si="3"/>
        <v>42059</v>
      </c>
      <c r="D61" s="43" t="s">
        <v>51</v>
      </c>
      <c r="E61" s="44"/>
      <c r="F61" s="50"/>
      <c r="G61" s="45" t="s">
        <v>13</v>
      </c>
      <c r="H61" s="46" t="str">
        <f t="shared" si="2"/>
        <v/>
      </c>
      <c r="I61" s="46"/>
      <c r="J61" s="46"/>
      <c r="K61" s="148"/>
    </row>
    <row r="62" spans="1:11" x14ac:dyDescent="0.25">
      <c r="A62" s="10">
        <f t="shared" si="3"/>
        <v>42060</v>
      </c>
      <c r="B62" s="11" t="str">
        <f t="shared" si="1"/>
        <v>mercredi</v>
      </c>
      <c r="C62" s="10">
        <f t="shared" si="3"/>
        <v>42060</v>
      </c>
      <c r="D62" s="43" t="s">
        <v>51</v>
      </c>
      <c r="E62" s="44"/>
      <c r="F62" s="50"/>
      <c r="G62" s="45" t="s">
        <v>13</v>
      </c>
      <c r="H62" s="46" t="str">
        <f t="shared" si="2"/>
        <v/>
      </c>
      <c r="I62" s="46"/>
      <c r="J62" s="46"/>
      <c r="K62" s="148"/>
    </row>
    <row r="63" spans="1:11" x14ac:dyDescent="0.25">
      <c r="A63" s="10">
        <f t="shared" si="3"/>
        <v>42061</v>
      </c>
      <c r="B63" s="11" t="str">
        <f t="shared" si="1"/>
        <v>jeudi</v>
      </c>
      <c r="C63" s="10">
        <f t="shared" si="3"/>
        <v>42061</v>
      </c>
      <c r="D63" s="43" t="s">
        <v>51</v>
      </c>
      <c r="E63" s="44"/>
      <c r="F63" s="50"/>
      <c r="G63" s="45" t="s">
        <v>13</v>
      </c>
      <c r="H63" s="46" t="str">
        <f t="shared" si="2"/>
        <v/>
      </c>
      <c r="I63" s="46"/>
      <c r="J63" s="46"/>
      <c r="K63" s="148"/>
    </row>
    <row r="64" spans="1:11" x14ac:dyDescent="0.25">
      <c r="A64" s="10">
        <f t="shared" si="3"/>
        <v>42062</v>
      </c>
      <c r="B64" s="11" t="str">
        <f t="shared" si="1"/>
        <v>vendredi</v>
      </c>
      <c r="C64" s="10">
        <f t="shared" si="3"/>
        <v>42062</v>
      </c>
      <c r="D64" s="43" t="s">
        <v>51</v>
      </c>
      <c r="E64" s="44"/>
      <c r="F64" s="50"/>
      <c r="G64" s="45" t="s">
        <v>13</v>
      </c>
      <c r="H64" s="46" t="str">
        <f t="shared" si="2"/>
        <v/>
      </c>
      <c r="I64" s="46"/>
      <c r="J64" s="46"/>
      <c r="K64" s="148"/>
    </row>
    <row r="65" spans="1:11" x14ac:dyDescent="0.25">
      <c r="A65" s="10">
        <f t="shared" si="3"/>
        <v>42063</v>
      </c>
      <c r="B65" s="11" t="str">
        <f t="shared" si="1"/>
        <v>samedi</v>
      </c>
      <c r="C65" s="10">
        <f t="shared" si="3"/>
        <v>42063</v>
      </c>
      <c r="D65" s="43"/>
      <c r="E65" s="44"/>
      <c r="F65" s="50"/>
      <c r="G65" s="45"/>
      <c r="H65" s="46" t="str">
        <f t="shared" si="2"/>
        <v/>
      </c>
      <c r="I65" s="57"/>
      <c r="J65" s="46"/>
      <c r="K65" s="148"/>
    </row>
    <row r="66" spans="1:11" x14ac:dyDescent="0.25">
      <c r="A66" s="10">
        <f t="shared" si="3"/>
        <v>42064</v>
      </c>
      <c r="B66" s="11" t="str">
        <f t="shared" si="1"/>
        <v>dimanche</v>
      </c>
      <c r="C66" s="10">
        <f t="shared" si="3"/>
        <v>42064</v>
      </c>
      <c r="D66" s="43"/>
      <c r="E66" s="44"/>
      <c r="F66" s="39">
        <f>SUM(E60:E65)</f>
        <v>0</v>
      </c>
      <c r="G66" s="45"/>
      <c r="H66" s="46" t="str">
        <f t="shared" si="2"/>
        <v/>
      </c>
      <c r="I66" s="57">
        <f>SUM(H60:H65)</f>
        <v>0</v>
      </c>
      <c r="J66" s="46" t="str">
        <f>IF((SUM(E60:E65)&gt;paramètres!$E$20),SUM(E60:E65)-paramètres!$E$20,"")</f>
        <v/>
      </c>
      <c r="K66" s="148"/>
    </row>
    <row r="67" spans="1:11" x14ac:dyDescent="0.25">
      <c r="A67" s="10">
        <f t="shared" si="3"/>
        <v>42065</v>
      </c>
      <c r="B67" s="11" t="str">
        <f t="shared" si="1"/>
        <v>lundi</v>
      </c>
      <c r="C67" s="10">
        <f t="shared" si="3"/>
        <v>42065</v>
      </c>
      <c r="D67" s="43" t="s">
        <v>58</v>
      </c>
      <c r="E67" s="44"/>
      <c r="F67" s="50"/>
      <c r="G67" s="45" t="s">
        <v>13</v>
      </c>
      <c r="H67" s="46" t="str">
        <f t="shared" si="2"/>
        <v/>
      </c>
      <c r="I67" s="46"/>
      <c r="J67" s="46"/>
      <c r="K67" s="148">
        <f t="shared" si="0"/>
        <v>10</v>
      </c>
    </row>
    <row r="68" spans="1:11" x14ac:dyDescent="0.25">
      <c r="A68" s="10">
        <f t="shared" si="3"/>
        <v>42066</v>
      </c>
      <c r="B68" s="11" t="str">
        <f t="shared" si="1"/>
        <v>mardi</v>
      </c>
      <c r="C68" s="10">
        <f t="shared" si="3"/>
        <v>42066</v>
      </c>
      <c r="D68" s="43">
        <v>0.31250000000000006</v>
      </c>
      <c r="E68" s="44"/>
      <c r="F68" s="50"/>
      <c r="G68" s="45"/>
      <c r="H68" s="46" t="str">
        <f t="shared" si="2"/>
        <v/>
      </c>
      <c r="I68" s="46"/>
      <c r="J68" s="46"/>
      <c r="K68" s="148"/>
    </row>
    <row r="69" spans="1:11" x14ac:dyDescent="0.25">
      <c r="A69" s="10">
        <f t="shared" si="3"/>
        <v>42067</v>
      </c>
      <c r="B69" s="11" t="str">
        <f t="shared" ref="B69:B132" si="4">LOWER(TEXT(C69,"jjjj"))</f>
        <v>mercredi</v>
      </c>
      <c r="C69" s="10">
        <f t="shared" si="3"/>
        <v>42067</v>
      </c>
      <c r="D69" s="43">
        <v>0.31250000000000006</v>
      </c>
      <c r="E69" s="44"/>
      <c r="F69" s="50"/>
      <c r="G69" s="45"/>
      <c r="H69" s="46" t="str">
        <f t="shared" ref="H69:H132" si="5">IF(OR(G69="AT",G69="AM",G69="CMat",G69="For"),D69,"")</f>
        <v/>
      </c>
      <c r="I69" s="46"/>
      <c r="J69" s="46"/>
      <c r="K69" s="148"/>
    </row>
    <row r="70" spans="1:11" x14ac:dyDescent="0.25">
      <c r="A70" s="10">
        <f t="shared" ref="A70" si="6">A69+1</f>
        <v>42068</v>
      </c>
      <c r="B70" s="11" t="str">
        <f t="shared" si="4"/>
        <v>jeudi</v>
      </c>
      <c r="C70" s="10">
        <f t="shared" ref="C70:C71" si="7">C69+1</f>
        <v>42068</v>
      </c>
      <c r="D70" s="43">
        <v>0.31250000000000006</v>
      </c>
      <c r="E70" s="44"/>
      <c r="F70" s="50"/>
      <c r="G70" s="45"/>
      <c r="H70" s="46" t="str">
        <f t="shared" si="5"/>
        <v/>
      </c>
      <c r="I70" s="46"/>
      <c r="J70" s="46"/>
      <c r="K70" s="148"/>
    </row>
    <row r="71" spans="1:11" x14ac:dyDescent="0.25">
      <c r="A71" s="10">
        <f t="shared" ref="A71" si="8">A70+1</f>
        <v>42069</v>
      </c>
      <c r="B71" s="11" t="str">
        <f t="shared" si="4"/>
        <v>vendredi</v>
      </c>
      <c r="C71" s="10">
        <f t="shared" si="7"/>
        <v>42069</v>
      </c>
      <c r="D71" s="43">
        <v>0.32291666666666669</v>
      </c>
      <c r="E71" s="44"/>
      <c r="F71" s="50"/>
      <c r="G71" s="45"/>
      <c r="H71" s="46" t="str">
        <f t="shared" si="5"/>
        <v/>
      </c>
      <c r="I71" s="46"/>
      <c r="J71" s="46"/>
      <c r="K71" s="148"/>
    </row>
    <row r="72" spans="1:11" x14ac:dyDescent="0.25">
      <c r="A72" s="10">
        <f t="shared" ref="A72" si="9">A71+1</f>
        <v>42070</v>
      </c>
      <c r="B72" s="11" t="str">
        <f t="shared" si="4"/>
        <v>samedi</v>
      </c>
      <c r="C72" s="10">
        <f t="shared" ref="C72:C135" si="10">C71+1</f>
        <v>42070</v>
      </c>
      <c r="D72" s="43"/>
      <c r="E72" s="44"/>
      <c r="F72" s="50"/>
      <c r="G72" s="45"/>
      <c r="H72" s="46" t="str">
        <f t="shared" si="5"/>
        <v/>
      </c>
      <c r="I72" s="46"/>
      <c r="J72" s="46"/>
      <c r="K72" s="148"/>
    </row>
    <row r="73" spans="1:11" x14ac:dyDescent="0.25">
      <c r="A73" s="10">
        <f t="shared" ref="A73" si="11">A72+1</f>
        <v>42071</v>
      </c>
      <c r="B73" s="11" t="str">
        <f t="shared" si="4"/>
        <v>dimanche</v>
      </c>
      <c r="C73" s="10">
        <f t="shared" si="10"/>
        <v>42071</v>
      </c>
      <c r="D73" s="43"/>
      <c r="E73" s="44"/>
      <c r="F73" s="39">
        <f>SUM(E67:E72)</f>
        <v>0</v>
      </c>
      <c r="G73" s="45"/>
      <c r="H73" s="46" t="str">
        <f t="shared" si="5"/>
        <v/>
      </c>
      <c r="I73" s="57">
        <f>SUM(H67:H72)</f>
        <v>0</v>
      </c>
      <c r="J73" s="46" t="str">
        <f>IF((SUM(E67:E72)&gt;paramètres!$E$20),SUM(E67:E72)-paramètres!$E$20,"")</f>
        <v/>
      </c>
      <c r="K73" s="148"/>
    </row>
    <row r="74" spans="1:11" x14ac:dyDescent="0.25">
      <c r="A74" s="10">
        <f t="shared" ref="A74" si="12">A73+1</f>
        <v>42072</v>
      </c>
      <c r="B74" s="11" t="str">
        <f t="shared" si="4"/>
        <v>lundi</v>
      </c>
      <c r="C74" s="10">
        <f t="shared" si="10"/>
        <v>42072</v>
      </c>
      <c r="D74" s="43">
        <v>0.32291666666666663</v>
      </c>
      <c r="E74" s="43">
        <v>0.32291666666666663</v>
      </c>
      <c r="F74" s="50"/>
      <c r="G74" s="45"/>
      <c r="H74" s="46" t="str">
        <f t="shared" si="5"/>
        <v/>
      </c>
      <c r="I74" s="46"/>
      <c r="J74" s="46"/>
      <c r="K74" s="148">
        <f t="shared" ref="K74:K137" si="13">IF(WEEKDAY(A74,2)=1,WEEKNUM(A74),"")</f>
        <v>11</v>
      </c>
    </row>
    <row r="75" spans="1:11" x14ac:dyDescent="0.25">
      <c r="A75" s="10">
        <f t="shared" ref="A75" si="14">A74+1</f>
        <v>42073</v>
      </c>
      <c r="B75" s="11" t="str">
        <f t="shared" si="4"/>
        <v>mardi</v>
      </c>
      <c r="C75" s="10">
        <f t="shared" si="10"/>
        <v>42073</v>
      </c>
      <c r="D75" s="43">
        <v>0.31250000000000006</v>
      </c>
      <c r="E75" s="43">
        <v>0.31250000000000006</v>
      </c>
      <c r="F75" s="50"/>
      <c r="G75" s="45"/>
      <c r="H75" s="46" t="str">
        <f t="shared" si="5"/>
        <v/>
      </c>
      <c r="I75" s="46"/>
      <c r="J75" s="46"/>
      <c r="K75" s="148"/>
    </row>
    <row r="76" spans="1:11" x14ac:dyDescent="0.25">
      <c r="A76" s="10">
        <f t="shared" ref="A76" si="15">A75+1</f>
        <v>42074</v>
      </c>
      <c r="B76" s="11" t="str">
        <f t="shared" si="4"/>
        <v>mercredi</v>
      </c>
      <c r="C76" s="10">
        <f t="shared" si="10"/>
        <v>42074</v>
      </c>
      <c r="D76" s="43">
        <v>0.31250000000000006</v>
      </c>
      <c r="E76" s="43">
        <v>0.5</v>
      </c>
      <c r="F76" s="50"/>
      <c r="G76" s="45"/>
      <c r="H76" s="46" t="str">
        <f t="shared" si="5"/>
        <v/>
      </c>
      <c r="I76" s="46"/>
      <c r="J76" s="46"/>
      <c r="K76" s="148"/>
    </row>
    <row r="77" spans="1:11" x14ac:dyDescent="0.25">
      <c r="A77" s="10">
        <f t="shared" ref="A77" si="16">A76+1</f>
        <v>42075</v>
      </c>
      <c r="B77" s="11" t="str">
        <f t="shared" si="4"/>
        <v>jeudi</v>
      </c>
      <c r="C77" s="10">
        <f t="shared" si="10"/>
        <v>42075</v>
      </c>
      <c r="D77" s="43">
        <v>0.31250000000000006</v>
      </c>
      <c r="E77" s="43">
        <v>0.5</v>
      </c>
      <c r="F77" s="50"/>
      <c r="G77" s="45"/>
      <c r="H77" s="46" t="str">
        <f t="shared" si="5"/>
        <v/>
      </c>
      <c r="I77" s="46"/>
      <c r="J77" s="46"/>
      <c r="K77" s="148"/>
    </row>
    <row r="78" spans="1:11" x14ac:dyDescent="0.25">
      <c r="A78" s="10">
        <f t="shared" ref="A78" si="17">A77+1</f>
        <v>42076</v>
      </c>
      <c r="B78" s="11" t="str">
        <f t="shared" si="4"/>
        <v>vendredi</v>
      </c>
      <c r="C78" s="10">
        <f t="shared" si="10"/>
        <v>42076</v>
      </c>
      <c r="D78" s="43">
        <v>0.32291666666666669</v>
      </c>
      <c r="E78" s="43">
        <v>0.32291666666666669</v>
      </c>
      <c r="F78" s="50"/>
      <c r="G78" s="45"/>
      <c r="H78" s="46" t="str">
        <f t="shared" si="5"/>
        <v/>
      </c>
      <c r="I78" s="46"/>
      <c r="J78" s="46"/>
      <c r="K78" s="148"/>
    </row>
    <row r="79" spans="1:11" x14ac:dyDescent="0.25">
      <c r="A79" s="10">
        <f t="shared" ref="A79" si="18">A78+1</f>
        <v>42077</v>
      </c>
      <c r="B79" s="11" t="str">
        <f t="shared" si="4"/>
        <v>samedi</v>
      </c>
      <c r="C79" s="10">
        <f t="shared" si="10"/>
        <v>42077</v>
      </c>
      <c r="D79" s="43"/>
      <c r="E79" s="44"/>
      <c r="F79" s="50"/>
      <c r="G79" s="45"/>
      <c r="H79" s="46" t="str">
        <f t="shared" si="5"/>
        <v/>
      </c>
      <c r="I79" s="46"/>
      <c r="J79" s="46"/>
      <c r="K79" s="148"/>
    </row>
    <row r="80" spans="1:11" x14ac:dyDescent="0.25">
      <c r="A80" s="10">
        <f t="shared" ref="A80" si="19">A79+1</f>
        <v>42078</v>
      </c>
      <c r="B80" s="11" t="str">
        <f t="shared" si="4"/>
        <v>dimanche</v>
      </c>
      <c r="C80" s="10">
        <f t="shared" si="10"/>
        <v>42078</v>
      </c>
      <c r="D80" s="43"/>
      <c r="E80" s="44"/>
      <c r="F80" s="39">
        <f>SUM(E74:E79)</f>
        <v>1.9583333333333335</v>
      </c>
      <c r="G80" s="45"/>
      <c r="H80" s="46" t="str">
        <f t="shared" si="5"/>
        <v/>
      </c>
      <c r="I80" s="57">
        <f>SUM(H74:H79)</f>
        <v>0</v>
      </c>
      <c r="J80" s="46">
        <f>IF((SUM(E74:E79)&gt;paramètres!$E$20),SUM(E74:E79)-paramètres!$E$20,"")</f>
        <v>0.125</v>
      </c>
      <c r="K80" s="148"/>
    </row>
    <row r="81" spans="1:11" x14ac:dyDescent="0.25">
      <c r="A81" s="10">
        <f t="shared" ref="A81" si="20">A80+1</f>
        <v>42079</v>
      </c>
      <c r="B81" s="11" t="str">
        <f t="shared" si="4"/>
        <v>lundi</v>
      </c>
      <c r="C81" s="10">
        <f t="shared" si="10"/>
        <v>42079</v>
      </c>
      <c r="D81" s="43">
        <v>0.32291666666666663</v>
      </c>
      <c r="E81" s="44"/>
      <c r="F81" s="50"/>
      <c r="G81" s="45"/>
      <c r="H81" s="46" t="str">
        <f t="shared" si="5"/>
        <v/>
      </c>
      <c r="I81" s="46"/>
      <c r="J81" s="46"/>
      <c r="K81" s="148">
        <f t="shared" si="13"/>
        <v>12</v>
      </c>
    </row>
    <row r="82" spans="1:11" x14ac:dyDescent="0.25">
      <c r="A82" s="10">
        <f t="shared" ref="A82" si="21">A81+1</f>
        <v>42080</v>
      </c>
      <c r="B82" s="11" t="str">
        <f t="shared" si="4"/>
        <v>mardi</v>
      </c>
      <c r="C82" s="10">
        <f t="shared" si="10"/>
        <v>42080</v>
      </c>
      <c r="D82" s="43">
        <v>0.31250000000000006</v>
      </c>
      <c r="E82" s="44"/>
      <c r="F82" s="50"/>
      <c r="G82" s="45"/>
      <c r="H82" s="46" t="str">
        <f t="shared" si="5"/>
        <v/>
      </c>
      <c r="I82" s="46"/>
      <c r="J82" s="46"/>
      <c r="K82" s="148"/>
    </row>
    <row r="83" spans="1:11" x14ac:dyDescent="0.25">
      <c r="A83" s="10">
        <f t="shared" ref="A83" si="22">A82+1</f>
        <v>42081</v>
      </c>
      <c r="B83" s="11" t="str">
        <f t="shared" si="4"/>
        <v>mercredi</v>
      </c>
      <c r="C83" s="10">
        <f t="shared" si="10"/>
        <v>42081</v>
      </c>
      <c r="D83" s="43">
        <v>0.31250000000000006</v>
      </c>
      <c r="E83" s="44"/>
      <c r="F83" s="50"/>
      <c r="G83" s="45"/>
      <c r="H83" s="46" t="str">
        <f t="shared" si="5"/>
        <v/>
      </c>
      <c r="I83" s="46"/>
      <c r="J83" s="46"/>
      <c r="K83" s="148"/>
    </row>
    <row r="84" spans="1:11" x14ac:dyDescent="0.25">
      <c r="A84" s="10">
        <f t="shared" ref="A84" si="23">A83+1</f>
        <v>42082</v>
      </c>
      <c r="B84" s="11" t="str">
        <f t="shared" si="4"/>
        <v>jeudi</v>
      </c>
      <c r="C84" s="10">
        <f t="shared" si="10"/>
        <v>42082</v>
      </c>
      <c r="D84" s="43">
        <v>0.31250000000000006</v>
      </c>
      <c r="E84" s="44"/>
      <c r="F84" s="50"/>
      <c r="G84" s="45"/>
      <c r="H84" s="46" t="str">
        <f t="shared" si="5"/>
        <v/>
      </c>
      <c r="I84" s="46"/>
      <c r="J84" s="46"/>
      <c r="K84" s="148"/>
    </row>
    <row r="85" spans="1:11" x14ac:dyDescent="0.25">
      <c r="A85" s="10">
        <f t="shared" ref="A85" si="24">A84+1</f>
        <v>42083</v>
      </c>
      <c r="B85" s="11" t="str">
        <f t="shared" si="4"/>
        <v>vendredi</v>
      </c>
      <c r="C85" s="10">
        <f t="shared" si="10"/>
        <v>42083</v>
      </c>
      <c r="D85" s="43">
        <v>0.32291666666666669</v>
      </c>
      <c r="E85" s="44"/>
      <c r="F85" s="50"/>
      <c r="G85" s="45"/>
      <c r="H85" s="46" t="str">
        <f t="shared" si="5"/>
        <v/>
      </c>
      <c r="I85" s="46"/>
      <c r="J85" s="46"/>
      <c r="K85" s="148"/>
    </row>
    <row r="86" spans="1:11" x14ac:dyDescent="0.25">
      <c r="A86" s="10">
        <f t="shared" ref="A86" si="25">A85+1</f>
        <v>42084</v>
      </c>
      <c r="B86" s="11" t="str">
        <f t="shared" si="4"/>
        <v>samedi</v>
      </c>
      <c r="C86" s="10">
        <f t="shared" si="10"/>
        <v>42084</v>
      </c>
      <c r="D86" s="43"/>
      <c r="E86" s="44"/>
      <c r="F86" s="50"/>
      <c r="G86" s="45"/>
      <c r="H86" s="46" t="str">
        <f t="shared" si="5"/>
        <v/>
      </c>
      <c r="I86" s="46"/>
      <c r="J86" s="46"/>
      <c r="K86" s="148"/>
    </row>
    <row r="87" spans="1:11" x14ac:dyDescent="0.25">
      <c r="A87" s="10">
        <f t="shared" ref="A87" si="26">A86+1</f>
        <v>42085</v>
      </c>
      <c r="B87" s="11" t="str">
        <f t="shared" si="4"/>
        <v>dimanche</v>
      </c>
      <c r="C87" s="10">
        <f t="shared" si="10"/>
        <v>42085</v>
      </c>
      <c r="D87" s="43"/>
      <c r="E87" s="44"/>
      <c r="F87" s="39">
        <f>SUM(E81:E86)</f>
        <v>0</v>
      </c>
      <c r="G87" s="45"/>
      <c r="H87" s="46" t="str">
        <f t="shared" si="5"/>
        <v/>
      </c>
      <c r="I87" s="57">
        <f>SUM(H81:H86)</f>
        <v>0</v>
      </c>
      <c r="J87" s="46" t="str">
        <f>IF((SUM(E81:E86)&gt;paramètres!$E$20),SUM(E81:E86)-paramètres!$E$20,"")</f>
        <v/>
      </c>
      <c r="K87" s="148"/>
    </row>
    <row r="88" spans="1:11" x14ac:dyDescent="0.25">
      <c r="A88" s="10">
        <f t="shared" ref="A88" si="27">A87+1</f>
        <v>42086</v>
      </c>
      <c r="B88" s="11" t="str">
        <f t="shared" si="4"/>
        <v>lundi</v>
      </c>
      <c r="C88" s="10">
        <f t="shared" si="10"/>
        <v>42086</v>
      </c>
      <c r="D88" s="43">
        <v>0.32291666666666663</v>
      </c>
      <c r="E88" s="44"/>
      <c r="F88" s="50"/>
      <c r="G88" s="45"/>
      <c r="H88" s="46" t="str">
        <f t="shared" si="5"/>
        <v/>
      </c>
      <c r="I88" s="46"/>
      <c r="J88" s="46"/>
      <c r="K88" s="148">
        <f t="shared" si="13"/>
        <v>13</v>
      </c>
    </row>
    <row r="89" spans="1:11" x14ac:dyDescent="0.25">
      <c r="A89" s="10">
        <f t="shared" ref="A89" si="28">A88+1</f>
        <v>42087</v>
      </c>
      <c r="B89" s="11" t="str">
        <f t="shared" si="4"/>
        <v>mardi</v>
      </c>
      <c r="C89" s="10">
        <f t="shared" si="10"/>
        <v>42087</v>
      </c>
      <c r="D89" s="43">
        <v>0.31250000000000006</v>
      </c>
      <c r="E89" s="44"/>
      <c r="F89" s="50"/>
      <c r="G89" s="45"/>
      <c r="H89" s="46" t="str">
        <f t="shared" si="5"/>
        <v/>
      </c>
      <c r="I89" s="46"/>
      <c r="J89" s="46"/>
      <c r="K89" s="148"/>
    </row>
    <row r="90" spans="1:11" x14ac:dyDescent="0.25">
      <c r="A90" s="10">
        <f t="shared" ref="A90" si="29">A89+1</f>
        <v>42088</v>
      </c>
      <c r="B90" s="11" t="str">
        <f t="shared" si="4"/>
        <v>mercredi</v>
      </c>
      <c r="C90" s="10">
        <f t="shared" si="10"/>
        <v>42088</v>
      </c>
      <c r="D90" s="43">
        <v>0.31250000000000006</v>
      </c>
      <c r="E90" s="44"/>
      <c r="F90" s="50"/>
      <c r="G90" s="45"/>
      <c r="H90" s="46" t="str">
        <f t="shared" si="5"/>
        <v/>
      </c>
      <c r="I90" s="46"/>
      <c r="J90" s="46"/>
      <c r="K90" s="148"/>
    </row>
    <row r="91" spans="1:11" x14ac:dyDescent="0.25">
      <c r="A91" s="10">
        <f t="shared" ref="A91" si="30">A90+1</f>
        <v>42089</v>
      </c>
      <c r="B91" s="11" t="str">
        <f t="shared" si="4"/>
        <v>jeudi</v>
      </c>
      <c r="C91" s="10">
        <f t="shared" si="10"/>
        <v>42089</v>
      </c>
      <c r="D91" s="43">
        <v>0.31250000000000006</v>
      </c>
      <c r="E91" s="44"/>
      <c r="F91" s="50"/>
      <c r="G91" s="45"/>
      <c r="H91" s="46" t="str">
        <f t="shared" si="5"/>
        <v/>
      </c>
      <c r="I91" s="46"/>
      <c r="J91" s="46"/>
      <c r="K91" s="148"/>
    </row>
    <row r="92" spans="1:11" x14ac:dyDescent="0.25">
      <c r="A92" s="10">
        <f t="shared" ref="A92" si="31">A91+1</f>
        <v>42090</v>
      </c>
      <c r="B92" s="11" t="str">
        <f t="shared" si="4"/>
        <v>vendredi</v>
      </c>
      <c r="C92" s="10">
        <f t="shared" si="10"/>
        <v>42090</v>
      </c>
      <c r="D92" s="43">
        <v>0.32291666666666669</v>
      </c>
      <c r="E92" s="44"/>
      <c r="F92" s="50"/>
      <c r="G92" s="45"/>
      <c r="H92" s="46" t="str">
        <f t="shared" si="5"/>
        <v/>
      </c>
      <c r="I92" s="46"/>
      <c r="J92" s="46"/>
      <c r="K92" s="148"/>
    </row>
    <row r="93" spans="1:11" x14ac:dyDescent="0.25">
      <c r="A93" s="10">
        <f t="shared" ref="A93" si="32">A92+1</f>
        <v>42091</v>
      </c>
      <c r="B93" s="11" t="str">
        <f t="shared" si="4"/>
        <v>samedi</v>
      </c>
      <c r="C93" s="10">
        <f t="shared" si="10"/>
        <v>42091</v>
      </c>
      <c r="D93" s="43"/>
      <c r="E93" s="44"/>
      <c r="F93" s="50"/>
      <c r="G93" s="45"/>
      <c r="H93" s="46" t="str">
        <f t="shared" si="5"/>
        <v/>
      </c>
      <c r="I93" s="46"/>
      <c r="J93" s="46"/>
      <c r="K93" s="148"/>
    </row>
    <row r="94" spans="1:11" x14ac:dyDescent="0.25">
      <c r="A94" s="10">
        <f t="shared" ref="A94" si="33">A93+1</f>
        <v>42092</v>
      </c>
      <c r="B94" s="11" t="str">
        <f t="shared" si="4"/>
        <v>dimanche</v>
      </c>
      <c r="C94" s="10">
        <f t="shared" si="10"/>
        <v>42092</v>
      </c>
      <c r="D94" s="43"/>
      <c r="E94" s="44"/>
      <c r="F94" s="39">
        <f>SUM(E88:E93)</f>
        <v>0</v>
      </c>
      <c r="G94" s="45"/>
      <c r="H94" s="46" t="str">
        <f t="shared" si="5"/>
        <v/>
      </c>
      <c r="I94" s="57">
        <f>SUM(H88:H93)</f>
        <v>0</v>
      </c>
      <c r="J94" s="46" t="str">
        <f>IF((SUM(E88:E93)&gt;paramètres!$E$20),SUM(E88:E93)-paramètres!$E$20,"")</f>
        <v/>
      </c>
      <c r="K94" s="148"/>
    </row>
    <row r="95" spans="1:11" x14ac:dyDescent="0.25">
      <c r="A95" s="10">
        <f t="shared" ref="A95" si="34">A94+1</f>
        <v>42093</v>
      </c>
      <c r="B95" s="11" t="str">
        <f t="shared" si="4"/>
        <v>lundi</v>
      </c>
      <c r="C95" s="10">
        <f t="shared" si="10"/>
        <v>42093</v>
      </c>
      <c r="D95" s="43">
        <v>0.32291666666666663</v>
      </c>
      <c r="E95" s="44"/>
      <c r="F95" s="50"/>
      <c r="G95" s="45"/>
      <c r="H95" s="46" t="str">
        <f t="shared" si="5"/>
        <v/>
      </c>
      <c r="I95" s="46"/>
      <c r="J95" s="46"/>
      <c r="K95" s="148">
        <f t="shared" si="13"/>
        <v>14</v>
      </c>
    </row>
    <row r="96" spans="1:11" x14ac:dyDescent="0.25">
      <c r="A96" s="10">
        <f t="shared" ref="A96" si="35">A95+1</f>
        <v>42094</v>
      </c>
      <c r="B96" s="11" t="str">
        <f t="shared" si="4"/>
        <v>mardi</v>
      </c>
      <c r="C96" s="10">
        <f t="shared" si="10"/>
        <v>42094</v>
      </c>
      <c r="D96" s="43">
        <v>0.31250000000000006</v>
      </c>
      <c r="E96" s="44"/>
      <c r="F96" s="50"/>
      <c r="G96" s="45"/>
      <c r="H96" s="46" t="str">
        <f t="shared" si="5"/>
        <v/>
      </c>
      <c r="I96" s="46"/>
      <c r="J96" s="46"/>
      <c r="K96" s="148"/>
    </row>
    <row r="97" spans="1:11" x14ac:dyDescent="0.25">
      <c r="A97" s="10">
        <f t="shared" ref="A97" si="36">A96+1</f>
        <v>42095</v>
      </c>
      <c r="B97" s="11" t="str">
        <f t="shared" si="4"/>
        <v>mercredi</v>
      </c>
      <c r="C97" s="10">
        <f t="shared" si="10"/>
        <v>42095</v>
      </c>
      <c r="D97" s="43">
        <v>0.31250000000000006</v>
      </c>
      <c r="E97" s="44"/>
      <c r="F97" s="50"/>
      <c r="G97" s="45"/>
      <c r="H97" s="46" t="str">
        <f t="shared" si="5"/>
        <v/>
      </c>
      <c r="I97" s="46"/>
      <c r="J97" s="46"/>
      <c r="K97" s="148"/>
    </row>
    <row r="98" spans="1:11" x14ac:dyDescent="0.25">
      <c r="A98" s="10">
        <f t="shared" ref="A98" si="37">A97+1</f>
        <v>42096</v>
      </c>
      <c r="B98" s="11" t="str">
        <f t="shared" si="4"/>
        <v>jeudi</v>
      </c>
      <c r="C98" s="10">
        <f t="shared" si="10"/>
        <v>42096</v>
      </c>
      <c r="D98" s="43">
        <v>0.31250000000000006</v>
      </c>
      <c r="E98" s="44"/>
      <c r="F98" s="50"/>
      <c r="G98" s="45"/>
      <c r="H98" s="46" t="str">
        <f t="shared" si="5"/>
        <v/>
      </c>
      <c r="I98" s="46"/>
      <c r="J98" s="46"/>
      <c r="K98" s="148"/>
    </row>
    <row r="99" spans="1:11" x14ac:dyDescent="0.25">
      <c r="A99" s="10">
        <f t="shared" ref="A99" si="38">A98+1</f>
        <v>42097</v>
      </c>
      <c r="B99" s="11" t="str">
        <f t="shared" si="4"/>
        <v>vendredi</v>
      </c>
      <c r="C99" s="10">
        <f t="shared" si="10"/>
        <v>42097</v>
      </c>
      <c r="D99" s="43">
        <v>0.32291666666666669</v>
      </c>
      <c r="E99" s="44"/>
      <c r="F99" s="50"/>
      <c r="G99" s="45"/>
      <c r="H99" s="46" t="str">
        <f t="shared" si="5"/>
        <v/>
      </c>
      <c r="I99" s="46"/>
      <c r="J99" s="46"/>
      <c r="K99" s="148"/>
    </row>
    <row r="100" spans="1:11" x14ac:dyDescent="0.25">
      <c r="A100" s="10">
        <f t="shared" ref="A100" si="39">A99+1</f>
        <v>42098</v>
      </c>
      <c r="B100" s="11" t="str">
        <f t="shared" si="4"/>
        <v>samedi</v>
      </c>
      <c r="C100" s="10">
        <f t="shared" si="10"/>
        <v>42098</v>
      </c>
      <c r="D100" s="43"/>
      <c r="E100" s="44"/>
      <c r="F100" s="50"/>
      <c r="G100" s="45"/>
      <c r="H100" s="46" t="str">
        <f t="shared" si="5"/>
        <v/>
      </c>
      <c r="I100" s="46"/>
      <c r="J100" s="46"/>
      <c r="K100" s="148"/>
    </row>
    <row r="101" spans="1:11" x14ac:dyDescent="0.25">
      <c r="A101" s="10">
        <f t="shared" ref="A101" si="40">A100+1</f>
        <v>42099</v>
      </c>
      <c r="B101" s="11" t="str">
        <f t="shared" si="4"/>
        <v>dimanche</v>
      </c>
      <c r="C101" s="10">
        <f t="shared" si="10"/>
        <v>42099</v>
      </c>
      <c r="D101" s="43"/>
      <c r="E101" s="44"/>
      <c r="F101" s="39">
        <f>SUM(E95:E100)</f>
        <v>0</v>
      </c>
      <c r="G101" s="45"/>
      <c r="H101" s="46" t="str">
        <f t="shared" si="5"/>
        <v/>
      </c>
      <c r="I101" s="57">
        <f>SUM(H95:H100)</f>
        <v>0</v>
      </c>
      <c r="J101" s="46" t="str">
        <f>IF((SUM(E95:E100)&gt;paramètres!$E$20),SUM(E95:E100)-paramètres!$E$20,"")</f>
        <v/>
      </c>
      <c r="K101" s="148"/>
    </row>
    <row r="102" spans="1:11" x14ac:dyDescent="0.25">
      <c r="A102" s="10">
        <f t="shared" ref="A102" si="41">A101+1</f>
        <v>42100</v>
      </c>
      <c r="B102" s="11" t="str">
        <f t="shared" si="4"/>
        <v>lundi</v>
      </c>
      <c r="C102" s="10">
        <f t="shared" si="10"/>
        <v>42100</v>
      </c>
      <c r="D102" s="43"/>
      <c r="E102" s="44"/>
      <c r="F102" s="50"/>
      <c r="G102" s="45" t="s">
        <v>13</v>
      </c>
      <c r="H102" s="46" t="str">
        <f t="shared" si="5"/>
        <v/>
      </c>
      <c r="I102" s="46"/>
      <c r="J102" s="46"/>
      <c r="K102" s="148">
        <f t="shared" si="13"/>
        <v>15</v>
      </c>
    </row>
    <row r="103" spans="1:11" x14ac:dyDescent="0.25">
      <c r="A103" s="10">
        <f t="shared" ref="A103" si="42">A102+1</f>
        <v>42101</v>
      </c>
      <c r="B103" s="11" t="str">
        <f t="shared" si="4"/>
        <v>mardi</v>
      </c>
      <c r="C103" s="10">
        <f t="shared" si="10"/>
        <v>42101</v>
      </c>
      <c r="D103" s="43" t="s">
        <v>51</v>
      </c>
      <c r="E103" s="44"/>
      <c r="F103" s="50"/>
      <c r="G103" s="45" t="s">
        <v>13</v>
      </c>
      <c r="H103" s="46" t="str">
        <f t="shared" si="5"/>
        <v/>
      </c>
      <c r="I103" s="46"/>
      <c r="J103" s="46"/>
      <c r="K103" s="148"/>
    </row>
    <row r="104" spans="1:11" x14ac:dyDescent="0.25">
      <c r="A104" s="10">
        <f t="shared" ref="A104" si="43">A103+1</f>
        <v>42102</v>
      </c>
      <c r="B104" s="11" t="str">
        <f t="shared" si="4"/>
        <v>mercredi</v>
      </c>
      <c r="C104" s="10">
        <f t="shared" si="10"/>
        <v>42102</v>
      </c>
      <c r="D104" s="43" t="s">
        <v>51</v>
      </c>
      <c r="E104" s="44"/>
      <c r="F104" s="50"/>
      <c r="G104" s="45" t="s">
        <v>13</v>
      </c>
      <c r="H104" s="46" t="str">
        <f t="shared" si="5"/>
        <v/>
      </c>
      <c r="I104" s="46"/>
      <c r="J104" s="46"/>
      <c r="K104" s="148"/>
    </row>
    <row r="105" spans="1:11" x14ac:dyDescent="0.25">
      <c r="A105" s="10">
        <f t="shared" ref="A105" si="44">A104+1</f>
        <v>42103</v>
      </c>
      <c r="B105" s="11" t="str">
        <f t="shared" si="4"/>
        <v>jeudi</v>
      </c>
      <c r="C105" s="10">
        <f t="shared" si="10"/>
        <v>42103</v>
      </c>
      <c r="D105" s="43" t="s">
        <v>51</v>
      </c>
      <c r="E105" s="44"/>
      <c r="F105" s="50"/>
      <c r="G105" s="45" t="s">
        <v>13</v>
      </c>
      <c r="H105" s="46" t="str">
        <f t="shared" si="5"/>
        <v/>
      </c>
      <c r="I105" s="46"/>
      <c r="J105" s="46"/>
      <c r="K105" s="148"/>
    </row>
    <row r="106" spans="1:11" x14ac:dyDescent="0.25">
      <c r="A106" s="10">
        <f t="shared" ref="A106" si="45">A105+1</f>
        <v>42104</v>
      </c>
      <c r="B106" s="11" t="str">
        <f t="shared" si="4"/>
        <v>vendredi</v>
      </c>
      <c r="C106" s="10">
        <f t="shared" si="10"/>
        <v>42104</v>
      </c>
      <c r="D106" s="43" t="s">
        <v>51</v>
      </c>
      <c r="E106" s="44"/>
      <c r="F106" s="50"/>
      <c r="G106" s="45" t="s">
        <v>13</v>
      </c>
      <c r="H106" s="46" t="str">
        <f t="shared" si="5"/>
        <v/>
      </c>
      <c r="I106" s="46"/>
      <c r="J106" s="46"/>
      <c r="K106" s="148"/>
    </row>
    <row r="107" spans="1:11" x14ac:dyDescent="0.25">
      <c r="A107" s="10">
        <f t="shared" ref="A107" si="46">A106+1</f>
        <v>42105</v>
      </c>
      <c r="B107" s="11" t="str">
        <f t="shared" si="4"/>
        <v>samedi</v>
      </c>
      <c r="C107" s="10">
        <f t="shared" si="10"/>
        <v>42105</v>
      </c>
      <c r="D107" s="43"/>
      <c r="E107" s="44"/>
      <c r="F107" s="50"/>
      <c r="G107" s="45"/>
      <c r="H107" s="46" t="str">
        <f t="shared" si="5"/>
        <v/>
      </c>
      <c r="I107" s="46"/>
      <c r="J107" s="46"/>
      <c r="K107" s="148"/>
    </row>
    <row r="108" spans="1:11" x14ac:dyDescent="0.25">
      <c r="A108" s="10">
        <f t="shared" ref="A108" si="47">A107+1</f>
        <v>42106</v>
      </c>
      <c r="B108" s="11" t="str">
        <f t="shared" si="4"/>
        <v>dimanche</v>
      </c>
      <c r="C108" s="10">
        <f t="shared" si="10"/>
        <v>42106</v>
      </c>
      <c r="D108" s="43"/>
      <c r="E108" s="44"/>
      <c r="F108" s="39">
        <f>SUM(E102:E107)</f>
        <v>0</v>
      </c>
      <c r="G108" s="45"/>
      <c r="H108" s="46" t="str">
        <f t="shared" si="5"/>
        <v/>
      </c>
      <c r="I108" s="57">
        <f>SUM(H102:H107)</f>
        <v>0</v>
      </c>
      <c r="J108" s="46" t="str">
        <f>IF((SUM(E102:E107)&gt;paramètres!$E$20),SUM(E102:E107)-paramètres!$E$20,"")</f>
        <v/>
      </c>
      <c r="K108" s="148"/>
    </row>
    <row r="109" spans="1:11" x14ac:dyDescent="0.25">
      <c r="A109" s="10">
        <f t="shared" ref="A109" si="48">A108+1</f>
        <v>42107</v>
      </c>
      <c r="B109" s="11" t="str">
        <f t="shared" si="4"/>
        <v>lundi</v>
      </c>
      <c r="C109" s="10">
        <f t="shared" si="10"/>
        <v>42107</v>
      </c>
      <c r="D109" s="43" t="s">
        <v>51</v>
      </c>
      <c r="E109" s="44"/>
      <c r="F109" s="50"/>
      <c r="G109" s="45" t="s">
        <v>13</v>
      </c>
      <c r="H109" s="46" t="str">
        <f t="shared" si="5"/>
        <v/>
      </c>
      <c r="I109" s="46"/>
      <c r="J109" s="46"/>
      <c r="K109" s="148">
        <f t="shared" si="13"/>
        <v>16</v>
      </c>
    </row>
    <row r="110" spans="1:11" x14ac:dyDescent="0.25">
      <c r="A110" s="10">
        <f t="shared" ref="A110" si="49">A109+1</f>
        <v>42108</v>
      </c>
      <c r="B110" s="11" t="str">
        <f t="shared" si="4"/>
        <v>mardi</v>
      </c>
      <c r="C110" s="10">
        <f t="shared" si="10"/>
        <v>42108</v>
      </c>
      <c r="D110" s="43">
        <v>0.31250000000000006</v>
      </c>
      <c r="E110" s="44"/>
      <c r="F110" s="50"/>
      <c r="G110" s="45"/>
      <c r="H110" s="46" t="str">
        <f t="shared" si="5"/>
        <v/>
      </c>
      <c r="I110" s="46"/>
      <c r="J110" s="46"/>
      <c r="K110" s="148"/>
    </row>
    <row r="111" spans="1:11" x14ac:dyDescent="0.25">
      <c r="A111" s="10">
        <f t="shared" ref="A111" si="50">A110+1</f>
        <v>42109</v>
      </c>
      <c r="B111" s="11" t="str">
        <f t="shared" si="4"/>
        <v>mercredi</v>
      </c>
      <c r="C111" s="10">
        <f t="shared" si="10"/>
        <v>42109</v>
      </c>
      <c r="D111" s="43">
        <v>0.31250000000000006</v>
      </c>
      <c r="E111" s="44"/>
      <c r="F111" s="50"/>
      <c r="G111" s="45"/>
      <c r="H111" s="46" t="str">
        <f t="shared" si="5"/>
        <v/>
      </c>
      <c r="I111" s="46"/>
      <c r="J111" s="46"/>
      <c r="K111" s="148"/>
    </row>
    <row r="112" spans="1:11" x14ac:dyDescent="0.25">
      <c r="A112" s="10">
        <f t="shared" ref="A112" si="51">A111+1</f>
        <v>42110</v>
      </c>
      <c r="B112" s="11" t="str">
        <f t="shared" si="4"/>
        <v>jeudi</v>
      </c>
      <c r="C112" s="10">
        <f t="shared" si="10"/>
        <v>42110</v>
      </c>
      <c r="D112" s="43">
        <v>0.31250000000000006</v>
      </c>
      <c r="E112" s="44"/>
      <c r="F112" s="50"/>
      <c r="G112" s="45"/>
      <c r="H112" s="46" t="str">
        <f t="shared" si="5"/>
        <v/>
      </c>
      <c r="I112" s="46"/>
      <c r="J112" s="46"/>
      <c r="K112" s="148"/>
    </row>
    <row r="113" spans="1:11" x14ac:dyDescent="0.25">
      <c r="A113" s="10">
        <f t="shared" ref="A113" si="52">A112+1</f>
        <v>42111</v>
      </c>
      <c r="B113" s="11" t="str">
        <f t="shared" si="4"/>
        <v>vendredi</v>
      </c>
      <c r="C113" s="10">
        <f t="shared" si="10"/>
        <v>42111</v>
      </c>
      <c r="D113" s="43">
        <v>0.32291666666666669</v>
      </c>
      <c r="E113" s="44"/>
      <c r="F113" s="50"/>
      <c r="G113" s="45"/>
      <c r="H113" s="46" t="str">
        <f t="shared" si="5"/>
        <v/>
      </c>
      <c r="I113" s="46"/>
      <c r="J113" s="46"/>
      <c r="K113" s="148"/>
    </row>
    <row r="114" spans="1:11" x14ac:dyDescent="0.25">
      <c r="A114" s="10">
        <f t="shared" ref="A114" si="53">A113+1</f>
        <v>42112</v>
      </c>
      <c r="B114" s="11" t="str">
        <f t="shared" si="4"/>
        <v>samedi</v>
      </c>
      <c r="C114" s="10">
        <f t="shared" si="10"/>
        <v>42112</v>
      </c>
      <c r="D114" s="43"/>
      <c r="E114" s="44"/>
      <c r="F114" s="50"/>
      <c r="G114" s="45"/>
      <c r="H114" s="46" t="str">
        <f t="shared" si="5"/>
        <v/>
      </c>
      <c r="I114" s="46"/>
      <c r="J114" s="46"/>
      <c r="K114" s="148"/>
    </row>
    <row r="115" spans="1:11" x14ac:dyDescent="0.25">
      <c r="A115" s="10">
        <f t="shared" ref="A115" si="54">A114+1</f>
        <v>42113</v>
      </c>
      <c r="B115" s="11" t="str">
        <f t="shared" si="4"/>
        <v>dimanche</v>
      </c>
      <c r="C115" s="10">
        <f t="shared" si="10"/>
        <v>42113</v>
      </c>
      <c r="D115" s="43"/>
      <c r="E115" s="74"/>
      <c r="F115" s="39">
        <f>SUM(E109:E114)</f>
        <v>0</v>
      </c>
      <c r="G115" s="45"/>
      <c r="H115" s="46" t="str">
        <f t="shared" si="5"/>
        <v/>
      </c>
      <c r="I115" s="57">
        <f>SUM(H109:H114)</f>
        <v>0</v>
      </c>
      <c r="J115" s="46" t="str">
        <f>IF((SUM(E109:E114)&gt;paramètres!$E$20),SUM(E109:E114)-paramètres!$E$20,"")</f>
        <v/>
      </c>
      <c r="K115" s="148"/>
    </row>
    <row r="116" spans="1:11" x14ac:dyDescent="0.25">
      <c r="A116" s="10">
        <f t="shared" ref="A116" si="55">A115+1</f>
        <v>42114</v>
      </c>
      <c r="B116" s="11" t="str">
        <f t="shared" si="4"/>
        <v>lundi</v>
      </c>
      <c r="C116" s="10">
        <f t="shared" si="10"/>
        <v>42114</v>
      </c>
      <c r="D116" s="43"/>
      <c r="E116" s="44"/>
      <c r="F116" s="50"/>
      <c r="G116" s="45"/>
      <c r="H116" s="46" t="str">
        <f t="shared" si="5"/>
        <v/>
      </c>
      <c r="I116" s="46"/>
      <c r="J116" s="46"/>
      <c r="K116" s="148">
        <f t="shared" si="13"/>
        <v>17</v>
      </c>
    </row>
    <row r="117" spans="1:11" x14ac:dyDescent="0.25">
      <c r="A117" s="10">
        <f t="shared" ref="A117" si="56">A116+1</f>
        <v>42115</v>
      </c>
      <c r="B117" s="11" t="str">
        <f t="shared" si="4"/>
        <v>mardi</v>
      </c>
      <c r="C117" s="10">
        <f t="shared" si="10"/>
        <v>42115</v>
      </c>
      <c r="D117" s="43">
        <v>0.31250000000000006</v>
      </c>
      <c r="E117" s="44"/>
      <c r="F117" s="50"/>
      <c r="G117" s="45"/>
      <c r="H117" s="46" t="str">
        <f t="shared" si="5"/>
        <v/>
      </c>
      <c r="I117" s="46"/>
      <c r="J117" s="46"/>
      <c r="K117" s="148"/>
    </row>
    <row r="118" spans="1:11" x14ac:dyDescent="0.25">
      <c r="A118" s="10">
        <f t="shared" ref="A118" si="57">A117+1</f>
        <v>42116</v>
      </c>
      <c r="B118" s="11" t="str">
        <f t="shared" si="4"/>
        <v>mercredi</v>
      </c>
      <c r="C118" s="10">
        <f t="shared" si="10"/>
        <v>42116</v>
      </c>
      <c r="D118" s="43">
        <v>0.31250000000000006</v>
      </c>
      <c r="E118" s="44"/>
      <c r="F118" s="50"/>
      <c r="G118" s="45"/>
      <c r="H118" s="46" t="str">
        <f t="shared" si="5"/>
        <v/>
      </c>
      <c r="I118" s="46"/>
      <c r="J118" s="46"/>
      <c r="K118" s="148"/>
    </row>
    <row r="119" spans="1:11" x14ac:dyDescent="0.25">
      <c r="A119" s="10">
        <f t="shared" ref="A119" si="58">A118+1</f>
        <v>42117</v>
      </c>
      <c r="B119" s="11" t="str">
        <f t="shared" si="4"/>
        <v>jeudi</v>
      </c>
      <c r="C119" s="10">
        <f t="shared" si="10"/>
        <v>42117</v>
      </c>
      <c r="D119" s="43">
        <v>0.31250000000000006</v>
      </c>
      <c r="E119" s="44"/>
      <c r="F119" s="50"/>
      <c r="G119" s="45"/>
      <c r="H119" s="46" t="str">
        <f t="shared" si="5"/>
        <v/>
      </c>
      <c r="I119" s="46"/>
      <c r="J119" s="46"/>
      <c r="K119" s="148"/>
    </row>
    <row r="120" spans="1:11" x14ac:dyDescent="0.25">
      <c r="A120" s="10">
        <f t="shared" ref="A120" si="59">A119+1</f>
        <v>42118</v>
      </c>
      <c r="B120" s="11" t="str">
        <f t="shared" si="4"/>
        <v>vendredi</v>
      </c>
      <c r="C120" s="10">
        <f t="shared" si="10"/>
        <v>42118</v>
      </c>
      <c r="D120" s="43">
        <v>0.32291666666666669</v>
      </c>
      <c r="E120" s="44"/>
      <c r="F120" s="50"/>
      <c r="G120" s="45"/>
      <c r="H120" s="46" t="str">
        <f t="shared" si="5"/>
        <v/>
      </c>
      <c r="I120" s="46"/>
      <c r="J120" s="46"/>
      <c r="K120" s="148"/>
    </row>
    <row r="121" spans="1:11" x14ac:dyDescent="0.25">
      <c r="A121" s="10">
        <f t="shared" ref="A121" si="60">A120+1</f>
        <v>42119</v>
      </c>
      <c r="B121" s="11" t="str">
        <f t="shared" si="4"/>
        <v>samedi</v>
      </c>
      <c r="C121" s="10">
        <f t="shared" si="10"/>
        <v>42119</v>
      </c>
      <c r="D121" s="43"/>
      <c r="E121" s="44"/>
      <c r="F121" s="50"/>
      <c r="G121" s="45"/>
      <c r="H121" s="46" t="str">
        <f t="shared" si="5"/>
        <v/>
      </c>
      <c r="I121" s="46"/>
      <c r="J121" s="46"/>
      <c r="K121" s="148"/>
    </row>
    <row r="122" spans="1:11" x14ac:dyDescent="0.25">
      <c r="A122" s="10">
        <f t="shared" ref="A122" si="61">A121+1</f>
        <v>42120</v>
      </c>
      <c r="B122" s="11" t="str">
        <f t="shared" si="4"/>
        <v>dimanche</v>
      </c>
      <c r="C122" s="10">
        <f t="shared" si="10"/>
        <v>42120</v>
      </c>
      <c r="D122" s="43"/>
      <c r="E122" s="44"/>
      <c r="F122" s="39">
        <f>SUM(E116:E121)</f>
        <v>0</v>
      </c>
      <c r="G122" s="45"/>
      <c r="H122" s="46" t="str">
        <f t="shared" si="5"/>
        <v/>
      </c>
      <c r="I122" s="57">
        <f>SUM(H116:H121)</f>
        <v>0</v>
      </c>
      <c r="J122" s="46" t="str">
        <f>IF((SUM(E116:E121)&gt;paramètres!$E$20),SUM(E116:E121)-paramètres!$E$20,"")</f>
        <v/>
      </c>
      <c r="K122" s="148"/>
    </row>
    <row r="123" spans="1:11" x14ac:dyDescent="0.25">
      <c r="A123" s="10">
        <f t="shared" ref="A123" si="62">A122+1</f>
        <v>42121</v>
      </c>
      <c r="B123" s="11" t="str">
        <f t="shared" si="4"/>
        <v>lundi</v>
      </c>
      <c r="C123" s="10">
        <f t="shared" si="10"/>
        <v>42121</v>
      </c>
      <c r="D123" s="43">
        <v>0.32291666666666663</v>
      </c>
      <c r="E123" s="44"/>
      <c r="F123" s="50"/>
      <c r="G123" s="45"/>
      <c r="H123" s="46" t="str">
        <f t="shared" si="5"/>
        <v/>
      </c>
      <c r="I123" s="46"/>
      <c r="J123" s="46"/>
      <c r="K123" s="148">
        <f t="shared" si="13"/>
        <v>18</v>
      </c>
    </row>
    <row r="124" spans="1:11" x14ac:dyDescent="0.25">
      <c r="A124" s="10">
        <f t="shared" ref="A124" si="63">A123+1</f>
        <v>42122</v>
      </c>
      <c r="B124" s="11" t="str">
        <f t="shared" si="4"/>
        <v>mardi</v>
      </c>
      <c r="C124" s="10">
        <f t="shared" si="10"/>
        <v>42122</v>
      </c>
      <c r="D124" s="43">
        <v>0.31250000000000006</v>
      </c>
      <c r="E124" s="44"/>
      <c r="F124" s="50"/>
      <c r="G124" s="45"/>
      <c r="H124" s="46" t="str">
        <f t="shared" si="5"/>
        <v/>
      </c>
      <c r="I124" s="46"/>
      <c r="J124" s="46"/>
      <c r="K124" s="148"/>
    </row>
    <row r="125" spans="1:11" x14ac:dyDescent="0.25">
      <c r="A125" s="10">
        <f t="shared" ref="A125" si="64">A124+1</f>
        <v>42123</v>
      </c>
      <c r="B125" s="11" t="str">
        <f t="shared" si="4"/>
        <v>mercredi</v>
      </c>
      <c r="C125" s="10">
        <f t="shared" si="10"/>
        <v>42123</v>
      </c>
      <c r="D125" s="43">
        <v>0.31250000000000006</v>
      </c>
      <c r="E125" s="44"/>
      <c r="F125" s="50"/>
      <c r="G125" s="45"/>
      <c r="H125" s="46" t="str">
        <f t="shared" si="5"/>
        <v/>
      </c>
      <c r="I125" s="46"/>
      <c r="J125" s="46"/>
      <c r="K125" s="148"/>
    </row>
    <row r="126" spans="1:11" x14ac:dyDescent="0.25">
      <c r="A126" s="10">
        <f t="shared" ref="A126" si="65">A125+1</f>
        <v>42124</v>
      </c>
      <c r="B126" s="11" t="str">
        <f t="shared" si="4"/>
        <v>jeudi</v>
      </c>
      <c r="C126" s="10">
        <f t="shared" si="10"/>
        <v>42124</v>
      </c>
      <c r="D126" s="43"/>
      <c r="E126" s="44"/>
      <c r="F126" s="50"/>
      <c r="G126" s="45"/>
      <c r="H126" s="46" t="str">
        <f t="shared" si="5"/>
        <v/>
      </c>
      <c r="I126" s="46"/>
      <c r="J126" s="46"/>
      <c r="K126" s="148"/>
    </row>
    <row r="127" spans="1:11" x14ac:dyDescent="0.25">
      <c r="A127" s="10">
        <f t="shared" ref="A127" si="66">A126+1</f>
        <v>42125</v>
      </c>
      <c r="B127" s="11" t="str">
        <f t="shared" si="4"/>
        <v>vendredi</v>
      </c>
      <c r="C127" s="10">
        <f t="shared" si="10"/>
        <v>42125</v>
      </c>
      <c r="D127" s="43">
        <v>0.32291666666666669</v>
      </c>
      <c r="E127" s="44"/>
      <c r="F127" s="50"/>
      <c r="G127" s="45"/>
      <c r="H127" s="46" t="str">
        <f t="shared" si="5"/>
        <v/>
      </c>
      <c r="I127" s="46"/>
      <c r="J127" s="46"/>
      <c r="K127" s="148"/>
    </row>
    <row r="128" spans="1:11" x14ac:dyDescent="0.25">
      <c r="A128" s="10">
        <f t="shared" ref="A128" si="67">A127+1</f>
        <v>42126</v>
      </c>
      <c r="B128" s="11" t="str">
        <f t="shared" si="4"/>
        <v>samedi</v>
      </c>
      <c r="C128" s="10">
        <f t="shared" si="10"/>
        <v>42126</v>
      </c>
      <c r="D128" s="43"/>
      <c r="E128" s="44"/>
      <c r="F128" s="50"/>
      <c r="G128" s="45"/>
      <c r="H128" s="46" t="str">
        <f t="shared" si="5"/>
        <v/>
      </c>
      <c r="I128" s="46"/>
      <c r="J128" s="46"/>
      <c r="K128" s="148"/>
    </row>
    <row r="129" spans="1:11" x14ac:dyDescent="0.25">
      <c r="A129" s="10">
        <f t="shared" ref="A129" si="68">A128+1</f>
        <v>42127</v>
      </c>
      <c r="B129" s="11" t="str">
        <f t="shared" si="4"/>
        <v>dimanche</v>
      </c>
      <c r="C129" s="10">
        <f t="shared" si="10"/>
        <v>42127</v>
      </c>
      <c r="D129" s="43"/>
      <c r="E129" s="44"/>
      <c r="F129" s="39">
        <f>SUM(E123:E128)</f>
        <v>0</v>
      </c>
      <c r="G129" s="45"/>
      <c r="H129" s="46" t="str">
        <f t="shared" si="5"/>
        <v/>
      </c>
      <c r="I129" s="57">
        <f>SUM(H123:H128)</f>
        <v>0</v>
      </c>
      <c r="J129" s="46" t="str">
        <f>IF((SUM(E123:E128)&gt;paramètres!$E$20),SUM(E123:E128)-paramètres!$E$20,"")</f>
        <v/>
      </c>
      <c r="K129" s="148"/>
    </row>
    <row r="130" spans="1:11" x14ac:dyDescent="0.25">
      <c r="A130" s="10">
        <f t="shared" ref="A130" si="69">A129+1</f>
        <v>42128</v>
      </c>
      <c r="B130" s="11" t="str">
        <f t="shared" si="4"/>
        <v>lundi</v>
      </c>
      <c r="C130" s="10">
        <f t="shared" si="10"/>
        <v>42128</v>
      </c>
      <c r="D130" s="43">
        <v>0.32291666666666663</v>
      </c>
      <c r="E130" s="44"/>
      <c r="F130" s="50"/>
      <c r="G130" s="45"/>
      <c r="H130" s="46" t="str">
        <f t="shared" si="5"/>
        <v/>
      </c>
      <c r="I130" s="46"/>
      <c r="J130" s="46"/>
      <c r="K130" s="148">
        <f t="shared" si="13"/>
        <v>19</v>
      </c>
    </row>
    <row r="131" spans="1:11" x14ac:dyDescent="0.25">
      <c r="A131" s="10">
        <f t="shared" ref="A131" si="70">A130+1</f>
        <v>42129</v>
      </c>
      <c r="B131" s="11" t="str">
        <f t="shared" si="4"/>
        <v>mardi</v>
      </c>
      <c r="C131" s="10">
        <f t="shared" si="10"/>
        <v>42129</v>
      </c>
      <c r="D131" s="43">
        <v>0.31250000000000006</v>
      </c>
      <c r="E131" s="44"/>
      <c r="F131" s="50"/>
      <c r="G131" s="45"/>
      <c r="H131" s="46" t="str">
        <f t="shared" si="5"/>
        <v/>
      </c>
      <c r="I131" s="46"/>
      <c r="J131" s="46"/>
      <c r="K131" s="148"/>
    </row>
    <row r="132" spans="1:11" x14ac:dyDescent="0.25">
      <c r="A132" s="10">
        <f t="shared" ref="A132" si="71">A131+1</f>
        <v>42130</v>
      </c>
      <c r="B132" s="11" t="str">
        <f t="shared" si="4"/>
        <v>mercredi</v>
      </c>
      <c r="C132" s="10">
        <f t="shared" si="10"/>
        <v>42130</v>
      </c>
      <c r="D132" s="43">
        <v>0.31250000000000006</v>
      </c>
      <c r="E132" s="44"/>
      <c r="F132" s="50"/>
      <c r="G132" s="45"/>
      <c r="H132" s="46" t="str">
        <f t="shared" si="5"/>
        <v/>
      </c>
      <c r="I132" s="46"/>
      <c r="J132" s="46"/>
      <c r="K132" s="148"/>
    </row>
    <row r="133" spans="1:11" x14ac:dyDescent="0.25">
      <c r="A133" s="10">
        <f t="shared" ref="A133" si="72">A132+1</f>
        <v>42131</v>
      </c>
      <c r="B133" s="11" t="str">
        <f t="shared" ref="B133:B196" si="73">LOWER(TEXT(C133,"jjjj"))</f>
        <v>jeudi</v>
      </c>
      <c r="C133" s="10">
        <f t="shared" si="10"/>
        <v>42131</v>
      </c>
      <c r="D133" s="43"/>
      <c r="E133" s="44"/>
      <c r="F133" s="50"/>
      <c r="G133" s="45"/>
      <c r="H133" s="46" t="str">
        <f t="shared" ref="H133:H196" si="74">IF(OR(G133="AT",G133="AM",G133="CMat",G133="For"),D133,"")</f>
        <v/>
      </c>
      <c r="I133" s="46"/>
      <c r="J133" s="46"/>
      <c r="K133" s="148"/>
    </row>
    <row r="134" spans="1:11" x14ac:dyDescent="0.25">
      <c r="A134" s="10">
        <f t="shared" ref="A134" si="75">A133+1</f>
        <v>42132</v>
      </c>
      <c r="B134" s="11" t="str">
        <f t="shared" si="73"/>
        <v>vendredi</v>
      </c>
      <c r="C134" s="10">
        <f t="shared" si="10"/>
        <v>42132</v>
      </c>
      <c r="D134" s="43">
        <v>0.32291666666666669</v>
      </c>
      <c r="E134" s="44"/>
      <c r="F134" s="50"/>
      <c r="G134" s="45"/>
      <c r="H134" s="46" t="str">
        <f t="shared" si="74"/>
        <v/>
      </c>
      <c r="I134" s="46"/>
      <c r="J134" s="46"/>
      <c r="K134" s="148"/>
    </row>
    <row r="135" spans="1:11" x14ac:dyDescent="0.25">
      <c r="A135" s="10">
        <f t="shared" ref="A135" si="76">A134+1</f>
        <v>42133</v>
      </c>
      <c r="B135" s="11" t="str">
        <f t="shared" si="73"/>
        <v>samedi</v>
      </c>
      <c r="C135" s="10">
        <f t="shared" si="10"/>
        <v>42133</v>
      </c>
      <c r="D135" s="43"/>
      <c r="E135" s="44"/>
      <c r="F135" s="50"/>
      <c r="G135" s="45"/>
      <c r="H135" s="46" t="str">
        <f t="shared" si="74"/>
        <v/>
      </c>
      <c r="I135" s="46"/>
      <c r="J135" s="46"/>
      <c r="K135" s="148"/>
    </row>
    <row r="136" spans="1:11" x14ac:dyDescent="0.25">
      <c r="A136" s="10">
        <f t="shared" ref="A136" si="77">A135+1</f>
        <v>42134</v>
      </c>
      <c r="B136" s="11" t="str">
        <f t="shared" si="73"/>
        <v>dimanche</v>
      </c>
      <c r="C136" s="10">
        <f t="shared" ref="C136:C199" si="78">C135+1</f>
        <v>42134</v>
      </c>
      <c r="D136" s="43"/>
      <c r="E136" s="44"/>
      <c r="F136" s="39">
        <f>SUM(E130:E135)</f>
        <v>0</v>
      </c>
      <c r="G136" s="45"/>
      <c r="H136" s="46" t="str">
        <f t="shared" si="74"/>
        <v/>
      </c>
      <c r="I136" s="57">
        <f>SUM(H130:H135)</f>
        <v>0</v>
      </c>
      <c r="J136" s="46" t="str">
        <f>IF((SUM(E130:E135)&gt;paramètres!$E$20),SUM(E130:E135)-paramètres!$E$20,"")</f>
        <v/>
      </c>
      <c r="K136" s="148"/>
    </row>
    <row r="137" spans="1:11" x14ac:dyDescent="0.25">
      <c r="A137" s="10">
        <f t="shared" ref="A137" si="79">A136+1</f>
        <v>42135</v>
      </c>
      <c r="B137" s="11" t="str">
        <f t="shared" si="73"/>
        <v>lundi</v>
      </c>
      <c r="C137" s="10">
        <f t="shared" si="78"/>
        <v>42135</v>
      </c>
      <c r="D137" s="43">
        <v>0.32291666666666663</v>
      </c>
      <c r="E137" s="44"/>
      <c r="F137" s="50"/>
      <c r="G137" s="45"/>
      <c r="H137" s="46" t="str">
        <f t="shared" si="74"/>
        <v/>
      </c>
      <c r="I137" s="46"/>
      <c r="J137" s="46"/>
      <c r="K137" s="148">
        <f t="shared" si="13"/>
        <v>20</v>
      </c>
    </row>
    <row r="138" spans="1:11" x14ac:dyDescent="0.25">
      <c r="A138" s="10">
        <f t="shared" ref="A138" si="80">A137+1</f>
        <v>42136</v>
      </c>
      <c r="B138" s="11" t="str">
        <f t="shared" si="73"/>
        <v>mardi</v>
      </c>
      <c r="C138" s="10">
        <f t="shared" si="78"/>
        <v>42136</v>
      </c>
      <c r="D138" s="43">
        <v>0.31250000000000006</v>
      </c>
      <c r="E138" s="44"/>
      <c r="F138" s="50"/>
      <c r="G138" s="45"/>
      <c r="H138" s="46" t="str">
        <f t="shared" si="74"/>
        <v/>
      </c>
      <c r="I138" s="46"/>
      <c r="J138" s="46"/>
      <c r="K138" s="148"/>
    </row>
    <row r="139" spans="1:11" x14ac:dyDescent="0.25">
      <c r="A139" s="10">
        <f t="shared" ref="A139" si="81">A138+1</f>
        <v>42137</v>
      </c>
      <c r="B139" s="11" t="str">
        <f t="shared" si="73"/>
        <v>mercredi</v>
      </c>
      <c r="C139" s="10">
        <f t="shared" si="78"/>
        <v>42137</v>
      </c>
      <c r="D139" s="43">
        <v>0.31250000000000006</v>
      </c>
      <c r="E139" s="44"/>
      <c r="F139" s="50"/>
      <c r="G139" s="45"/>
      <c r="H139" s="46" t="str">
        <f t="shared" si="74"/>
        <v/>
      </c>
      <c r="I139" s="46"/>
      <c r="J139" s="46"/>
      <c r="K139" s="148"/>
    </row>
    <row r="140" spans="1:11" x14ac:dyDescent="0.25">
      <c r="A140" s="10">
        <f t="shared" ref="A140" si="82">A139+1</f>
        <v>42138</v>
      </c>
      <c r="B140" s="11" t="str">
        <f t="shared" si="73"/>
        <v>jeudi</v>
      </c>
      <c r="C140" s="10">
        <f t="shared" si="78"/>
        <v>42138</v>
      </c>
      <c r="D140" s="43">
        <v>0.31250000000000006</v>
      </c>
      <c r="E140" s="44"/>
      <c r="F140" s="50"/>
      <c r="G140" s="45"/>
      <c r="H140" s="46" t="str">
        <f t="shared" si="74"/>
        <v/>
      </c>
      <c r="I140" s="46"/>
      <c r="J140" s="46"/>
      <c r="K140" s="148"/>
    </row>
    <row r="141" spans="1:11" x14ac:dyDescent="0.25">
      <c r="A141" s="10">
        <f t="shared" ref="A141" si="83">A140+1</f>
        <v>42139</v>
      </c>
      <c r="B141" s="11" t="str">
        <f t="shared" si="73"/>
        <v>vendredi</v>
      </c>
      <c r="C141" s="10">
        <f t="shared" si="78"/>
        <v>42139</v>
      </c>
      <c r="D141" s="43">
        <v>0.32291666666666669</v>
      </c>
      <c r="E141" s="44"/>
      <c r="F141" s="50"/>
      <c r="G141" s="45"/>
      <c r="H141" s="46" t="str">
        <f t="shared" si="74"/>
        <v/>
      </c>
      <c r="I141" s="46"/>
      <c r="J141" s="46"/>
      <c r="K141" s="148"/>
    </row>
    <row r="142" spans="1:11" x14ac:dyDescent="0.25">
      <c r="A142" s="10">
        <f t="shared" ref="A142" si="84">A141+1</f>
        <v>42140</v>
      </c>
      <c r="B142" s="11" t="str">
        <f t="shared" si="73"/>
        <v>samedi</v>
      </c>
      <c r="C142" s="10">
        <f t="shared" si="78"/>
        <v>42140</v>
      </c>
      <c r="D142" s="43"/>
      <c r="E142" s="44"/>
      <c r="F142" s="50"/>
      <c r="G142" s="45"/>
      <c r="H142" s="46" t="str">
        <f t="shared" si="74"/>
        <v/>
      </c>
      <c r="I142" s="46"/>
      <c r="J142" s="46"/>
      <c r="K142" s="148"/>
    </row>
    <row r="143" spans="1:11" x14ac:dyDescent="0.25">
      <c r="A143" s="10">
        <f t="shared" ref="A143" si="85">A142+1</f>
        <v>42141</v>
      </c>
      <c r="B143" s="11" t="str">
        <f t="shared" si="73"/>
        <v>dimanche</v>
      </c>
      <c r="C143" s="10">
        <f t="shared" si="78"/>
        <v>42141</v>
      </c>
      <c r="D143" s="43"/>
      <c r="E143" s="44"/>
      <c r="F143" s="39">
        <f>SUM(E137:E142)</f>
        <v>0</v>
      </c>
      <c r="G143" s="45"/>
      <c r="H143" s="46" t="str">
        <f t="shared" si="74"/>
        <v/>
      </c>
      <c r="I143" s="57">
        <f>SUM(H137:H142)</f>
        <v>0</v>
      </c>
      <c r="J143" s="46" t="str">
        <f>IF((SUM(E137:E142)&gt;paramètres!$E$20),SUM(E137:E142)-paramètres!$E$20,"")</f>
        <v/>
      </c>
      <c r="K143" s="148"/>
    </row>
    <row r="144" spans="1:11" x14ac:dyDescent="0.25">
      <c r="A144" s="10">
        <f t="shared" ref="A144" si="86">A143+1</f>
        <v>42142</v>
      </c>
      <c r="B144" s="11" t="str">
        <f t="shared" si="73"/>
        <v>lundi</v>
      </c>
      <c r="C144" s="10">
        <f t="shared" si="78"/>
        <v>42142</v>
      </c>
      <c r="D144" s="43">
        <v>0.32291666666666663</v>
      </c>
      <c r="E144" s="44"/>
      <c r="F144" s="50"/>
      <c r="G144" s="45"/>
      <c r="H144" s="46" t="str">
        <f t="shared" si="74"/>
        <v/>
      </c>
      <c r="I144" s="46"/>
      <c r="J144" s="46"/>
      <c r="K144" s="148">
        <f t="shared" ref="K144:K207" si="87">IF(WEEKDAY(A144,2)=1,WEEKNUM(A144),"")</f>
        <v>21</v>
      </c>
    </row>
    <row r="145" spans="1:11" x14ac:dyDescent="0.25">
      <c r="A145" s="10">
        <f t="shared" ref="A145" si="88">A144+1</f>
        <v>42143</v>
      </c>
      <c r="B145" s="11" t="str">
        <f t="shared" si="73"/>
        <v>mardi</v>
      </c>
      <c r="C145" s="10">
        <f t="shared" si="78"/>
        <v>42143</v>
      </c>
      <c r="D145" s="43">
        <v>0.31250000000000006</v>
      </c>
      <c r="E145" s="44"/>
      <c r="F145" s="50"/>
      <c r="G145" s="45"/>
      <c r="H145" s="46" t="str">
        <f t="shared" si="74"/>
        <v/>
      </c>
      <c r="I145" s="46"/>
      <c r="J145" s="46"/>
      <c r="K145" s="148"/>
    </row>
    <row r="146" spans="1:11" x14ac:dyDescent="0.25">
      <c r="A146" s="10">
        <f t="shared" ref="A146" si="89">A145+1</f>
        <v>42144</v>
      </c>
      <c r="B146" s="11" t="str">
        <f t="shared" si="73"/>
        <v>mercredi</v>
      </c>
      <c r="C146" s="10">
        <f t="shared" si="78"/>
        <v>42144</v>
      </c>
      <c r="D146" s="43">
        <v>0.31250000000000006</v>
      </c>
      <c r="E146" s="44"/>
      <c r="F146" s="50"/>
      <c r="G146" s="45"/>
      <c r="H146" s="46" t="str">
        <f t="shared" si="74"/>
        <v/>
      </c>
      <c r="I146" s="46"/>
      <c r="J146" s="46"/>
      <c r="K146" s="148"/>
    </row>
    <row r="147" spans="1:11" x14ac:dyDescent="0.25">
      <c r="A147" s="10">
        <f t="shared" ref="A147" si="90">A146+1</f>
        <v>42145</v>
      </c>
      <c r="B147" s="11" t="str">
        <f t="shared" si="73"/>
        <v>jeudi</v>
      </c>
      <c r="C147" s="10">
        <f t="shared" si="78"/>
        <v>42145</v>
      </c>
      <c r="D147" s="43">
        <v>0.31250000000000006</v>
      </c>
      <c r="E147" s="44"/>
      <c r="F147" s="50"/>
      <c r="G147" s="45"/>
      <c r="H147" s="46" t="str">
        <f t="shared" si="74"/>
        <v/>
      </c>
      <c r="I147" s="46"/>
      <c r="J147" s="46"/>
      <c r="K147" s="148"/>
    </row>
    <row r="148" spans="1:11" x14ac:dyDescent="0.25">
      <c r="A148" s="10">
        <f t="shared" ref="A148" si="91">A147+1</f>
        <v>42146</v>
      </c>
      <c r="B148" s="11" t="str">
        <f t="shared" si="73"/>
        <v>vendredi</v>
      </c>
      <c r="C148" s="10">
        <f t="shared" si="78"/>
        <v>42146</v>
      </c>
      <c r="D148" s="43">
        <v>0.32291666666666669</v>
      </c>
      <c r="E148" s="44"/>
      <c r="F148" s="50"/>
      <c r="G148" s="45"/>
      <c r="H148" s="46" t="str">
        <f>IF(OR(G148="AT",G148="AM",G148="CMat",G148="For"),D148,"")</f>
        <v/>
      </c>
      <c r="I148" s="46"/>
      <c r="J148" s="46"/>
      <c r="K148" s="148"/>
    </row>
    <row r="149" spans="1:11" x14ac:dyDescent="0.25">
      <c r="A149" s="10">
        <f t="shared" ref="A149" si="92">A148+1</f>
        <v>42147</v>
      </c>
      <c r="B149" s="11" t="str">
        <f t="shared" si="73"/>
        <v>samedi</v>
      </c>
      <c r="C149" s="10">
        <f t="shared" si="78"/>
        <v>42147</v>
      </c>
      <c r="D149" s="43"/>
      <c r="E149" s="44"/>
      <c r="F149" s="50"/>
      <c r="G149" s="45"/>
      <c r="H149" s="46" t="str">
        <f t="shared" si="74"/>
        <v/>
      </c>
      <c r="I149" s="46"/>
      <c r="J149" s="46"/>
      <c r="K149" s="148"/>
    </row>
    <row r="150" spans="1:11" x14ac:dyDescent="0.25">
      <c r="A150" s="10">
        <f t="shared" ref="A150" si="93">A149+1</f>
        <v>42148</v>
      </c>
      <c r="B150" s="11" t="str">
        <f t="shared" si="73"/>
        <v>dimanche</v>
      </c>
      <c r="C150" s="10">
        <f t="shared" si="78"/>
        <v>42148</v>
      </c>
      <c r="D150" s="43"/>
      <c r="E150" s="44"/>
      <c r="F150" s="39">
        <f>SUM(E144:E149)</f>
        <v>0</v>
      </c>
      <c r="G150" s="45"/>
      <c r="H150" s="46" t="str">
        <f t="shared" si="74"/>
        <v/>
      </c>
      <c r="I150" s="57">
        <f>SUM(H144:H149)</f>
        <v>0</v>
      </c>
      <c r="J150" s="46" t="str">
        <f>IF((SUM(E144:E149)&gt;paramètres!$E$20),SUM(E144:E149)-paramètres!$E$20,"")</f>
        <v/>
      </c>
      <c r="K150" s="148"/>
    </row>
    <row r="151" spans="1:11" x14ac:dyDescent="0.25">
      <c r="A151" s="10">
        <f t="shared" ref="A151" si="94">A150+1</f>
        <v>42149</v>
      </c>
      <c r="B151" s="11" t="str">
        <f t="shared" si="73"/>
        <v>lundi</v>
      </c>
      <c r="C151" s="10">
        <f t="shared" si="78"/>
        <v>42149</v>
      </c>
      <c r="D151" s="43">
        <v>0.32291666666666663</v>
      </c>
      <c r="E151" s="44"/>
      <c r="F151" s="50"/>
      <c r="G151" s="45"/>
      <c r="H151" s="46" t="str">
        <f t="shared" si="74"/>
        <v/>
      </c>
      <c r="I151" s="46"/>
      <c r="J151" s="46"/>
      <c r="K151" s="148">
        <f t="shared" si="87"/>
        <v>22</v>
      </c>
    </row>
    <row r="152" spans="1:11" x14ac:dyDescent="0.25">
      <c r="A152" s="10">
        <f t="shared" ref="A152" si="95">A151+1</f>
        <v>42150</v>
      </c>
      <c r="B152" s="11" t="str">
        <f t="shared" si="73"/>
        <v>mardi</v>
      </c>
      <c r="C152" s="10">
        <f t="shared" si="78"/>
        <v>42150</v>
      </c>
      <c r="D152" s="43">
        <v>0.31250000000000006</v>
      </c>
      <c r="E152" s="44"/>
      <c r="F152" s="50"/>
      <c r="G152" s="45"/>
      <c r="H152" s="46" t="str">
        <f t="shared" si="74"/>
        <v/>
      </c>
      <c r="I152" s="46"/>
      <c r="J152" s="46"/>
      <c r="K152" s="148"/>
    </row>
    <row r="153" spans="1:11" x14ac:dyDescent="0.25">
      <c r="A153" s="10">
        <f t="shared" ref="A153" si="96">A152+1</f>
        <v>42151</v>
      </c>
      <c r="B153" s="11" t="str">
        <f t="shared" si="73"/>
        <v>mercredi</v>
      </c>
      <c r="C153" s="10">
        <f t="shared" si="78"/>
        <v>42151</v>
      </c>
      <c r="D153" s="43">
        <v>0.31250000000000006</v>
      </c>
      <c r="E153" s="44"/>
      <c r="F153" s="50"/>
      <c r="G153" s="45"/>
      <c r="H153" s="46" t="str">
        <f t="shared" si="74"/>
        <v/>
      </c>
      <c r="I153" s="46"/>
      <c r="J153" s="46"/>
      <c r="K153" s="148"/>
    </row>
    <row r="154" spans="1:11" x14ac:dyDescent="0.25">
      <c r="A154" s="10">
        <f t="shared" ref="A154" si="97">A153+1</f>
        <v>42152</v>
      </c>
      <c r="B154" s="11" t="str">
        <f t="shared" si="73"/>
        <v>jeudi</v>
      </c>
      <c r="C154" s="10">
        <f t="shared" si="78"/>
        <v>42152</v>
      </c>
      <c r="D154" s="43"/>
      <c r="E154" s="44"/>
      <c r="F154" s="50"/>
      <c r="G154" s="45"/>
      <c r="H154" s="46" t="str">
        <f t="shared" si="74"/>
        <v/>
      </c>
      <c r="I154" s="46"/>
      <c r="J154" s="46"/>
      <c r="K154" s="148"/>
    </row>
    <row r="155" spans="1:11" x14ac:dyDescent="0.25">
      <c r="A155" s="10">
        <f t="shared" ref="A155" si="98">A154+1</f>
        <v>42153</v>
      </c>
      <c r="B155" s="11" t="str">
        <f t="shared" si="73"/>
        <v>vendredi</v>
      </c>
      <c r="C155" s="10">
        <f t="shared" si="78"/>
        <v>42153</v>
      </c>
      <c r="D155" s="43">
        <v>0.32291666666666669</v>
      </c>
      <c r="E155" s="44"/>
      <c r="F155" s="50"/>
      <c r="G155" s="45"/>
      <c r="H155" s="46" t="str">
        <f t="shared" si="74"/>
        <v/>
      </c>
      <c r="I155" s="46"/>
      <c r="J155" s="46"/>
      <c r="K155" s="148"/>
    </row>
    <row r="156" spans="1:11" x14ac:dyDescent="0.25">
      <c r="A156" s="10">
        <f t="shared" ref="A156" si="99">A155+1</f>
        <v>42154</v>
      </c>
      <c r="B156" s="11" t="str">
        <f t="shared" si="73"/>
        <v>samedi</v>
      </c>
      <c r="C156" s="10">
        <f t="shared" si="78"/>
        <v>42154</v>
      </c>
      <c r="D156" s="43"/>
      <c r="E156" s="44"/>
      <c r="F156" s="50"/>
      <c r="G156" s="45"/>
      <c r="H156" s="46" t="str">
        <f t="shared" si="74"/>
        <v/>
      </c>
      <c r="I156" s="46"/>
      <c r="J156" s="46"/>
      <c r="K156" s="148"/>
    </row>
    <row r="157" spans="1:11" x14ac:dyDescent="0.25">
      <c r="A157" s="10">
        <f t="shared" ref="A157" si="100">A156+1</f>
        <v>42155</v>
      </c>
      <c r="B157" s="11" t="str">
        <f t="shared" si="73"/>
        <v>dimanche</v>
      </c>
      <c r="C157" s="10">
        <f t="shared" si="78"/>
        <v>42155</v>
      </c>
      <c r="D157" s="43"/>
      <c r="E157" s="44"/>
      <c r="F157" s="39">
        <f>SUM(E151:E156)</f>
        <v>0</v>
      </c>
      <c r="G157" s="45"/>
      <c r="H157" s="46" t="str">
        <f t="shared" si="74"/>
        <v/>
      </c>
      <c r="I157" s="57">
        <f>SUM(H151:H156)</f>
        <v>0</v>
      </c>
      <c r="J157" s="46" t="str">
        <f>IF((SUM(E151:E156)&gt;paramètres!$E$20),SUM(E151:E156)-paramètres!$E$20,"")</f>
        <v/>
      </c>
      <c r="K157" s="148"/>
    </row>
    <row r="158" spans="1:11" x14ac:dyDescent="0.25">
      <c r="A158" s="10">
        <f t="shared" ref="A158" si="101">A157+1</f>
        <v>42156</v>
      </c>
      <c r="B158" s="11" t="str">
        <f t="shared" si="73"/>
        <v>lundi</v>
      </c>
      <c r="C158" s="10">
        <f t="shared" si="78"/>
        <v>42156</v>
      </c>
      <c r="D158" s="43">
        <v>0.32291666666666663</v>
      </c>
      <c r="E158" s="44"/>
      <c r="F158" s="50"/>
      <c r="G158" s="45"/>
      <c r="H158" s="46" t="str">
        <f t="shared" si="74"/>
        <v/>
      </c>
      <c r="I158" s="46"/>
      <c r="J158" s="46"/>
      <c r="K158" s="148">
        <f t="shared" si="87"/>
        <v>23</v>
      </c>
    </row>
    <row r="159" spans="1:11" x14ac:dyDescent="0.25">
      <c r="A159" s="10">
        <f t="shared" ref="A159" si="102">A158+1</f>
        <v>42157</v>
      </c>
      <c r="B159" s="11" t="str">
        <f t="shared" si="73"/>
        <v>mardi</v>
      </c>
      <c r="C159" s="10">
        <f t="shared" si="78"/>
        <v>42157</v>
      </c>
      <c r="D159" s="43">
        <v>0.31250000000000006</v>
      </c>
      <c r="E159" s="44"/>
      <c r="F159" s="50"/>
      <c r="G159" s="45"/>
      <c r="H159" s="46" t="str">
        <f t="shared" si="74"/>
        <v/>
      </c>
      <c r="I159" s="46"/>
      <c r="J159" s="46"/>
      <c r="K159" s="148"/>
    </row>
    <row r="160" spans="1:11" x14ac:dyDescent="0.25">
      <c r="A160" s="10">
        <f t="shared" ref="A160" si="103">A159+1</f>
        <v>42158</v>
      </c>
      <c r="B160" s="11" t="str">
        <f t="shared" si="73"/>
        <v>mercredi</v>
      </c>
      <c r="C160" s="10">
        <f t="shared" si="78"/>
        <v>42158</v>
      </c>
      <c r="D160" s="43">
        <v>0.31250000000000006</v>
      </c>
      <c r="E160" s="44"/>
      <c r="F160" s="50"/>
      <c r="G160" s="45"/>
      <c r="H160" s="46" t="str">
        <f t="shared" si="74"/>
        <v/>
      </c>
      <c r="I160" s="46"/>
      <c r="J160" s="46"/>
      <c r="K160" s="148"/>
    </row>
    <row r="161" spans="1:11" x14ac:dyDescent="0.25">
      <c r="A161" s="10">
        <f t="shared" ref="A161" si="104">A160+1</f>
        <v>42159</v>
      </c>
      <c r="B161" s="11" t="str">
        <f t="shared" si="73"/>
        <v>jeudi</v>
      </c>
      <c r="C161" s="10">
        <f t="shared" si="78"/>
        <v>42159</v>
      </c>
      <c r="D161" s="43">
        <v>0.31250000000000006</v>
      </c>
      <c r="E161" s="44"/>
      <c r="F161" s="50"/>
      <c r="G161" s="45"/>
      <c r="H161" s="46" t="str">
        <f t="shared" si="74"/>
        <v/>
      </c>
      <c r="I161" s="46"/>
      <c r="J161" s="46"/>
      <c r="K161" s="148"/>
    </row>
    <row r="162" spans="1:11" x14ac:dyDescent="0.25">
      <c r="A162" s="10">
        <f t="shared" ref="A162" si="105">A161+1</f>
        <v>42160</v>
      </c>
      <c r="B162" s="11" t="str">
        <f t="shared" si="73"/>
        <v>vendredi</v>
      </c>
      <c r="C162" s="10">
        <f t="shared" si="78"/>
        <v>42160</v>
      </c>
      <c r="D162" s="43">
        <v>0.32291666666666669</v>
      </c>
      <c r="E162" s="44"/>
      <c r="F162" s="50"/>
      <c r="G162" s="45"/>
      <c r="H162" s="46" t="str">
        <f t="shared" si="74"/>
        <v/>
      </c>
      <c r="I162" s="46"/>
      <c r="J162" s="46"/>
      <c r="K162" s="148"/>
    </row>
    <row r="163" spans="1:11" x14ac:dyDescent="0.25">
      <c r="A163" s="10">
        <f t="shared" ref="A163" si="106">A162+1</f>
        <v>42161</v>
      </c>
      <c r="B163" s="11" t="str">
        <f t="shared" si="73"/>
        <v>samedi</v>
      </c>
      <c r="C163" s="10">
        <f t="shared" si="78"/>
        <v>42161</v>
      </c>
      <c r="D163" s="43"/>
      <c r="E163" s="44"/>
      <c r="F163" s="50"/>
      <c r="G163" s="45"/>
      <c r="H163" s="46" t="str">
        <f t="shared" si="74"/>
        <v/>
      </c>
      <c r="I163" s="46"/>
      <c r="J163" s="46"/>
      <c r="K163" s="148"/>
    </row>
    <row r="164" spans="1:11" x14ac:dyDescent="0.25">
      <c r="A164" s="10">
        <f t="shared" ref="A164" si="107">A163+1</f>
        <v>42162</v>
      </c>
      <c r="B164" s="11" t="str">
        <f t="shared" si="73"/>
        <v>dimanche</v>
      </c>
      <c r="C164" s="10">
        <f t="shared" si="78"/>
        <v>42162</v>
      </c>
      <c r="D164" s="43"/>
      <c r="E164" s="44"/>
      <c r="F164" s="39">
        <f>SUM(E158:E163)</f>
        <v>0</v>
      </c>
      <c r="G164" s="45"/>
      <c r="H164" s="46" t="str">
        <f t="shared" si="74"/>
        <v/>
      </c>
      <c r="I164" s="57">
        <f>SUM(H158:H163)</f>
        <v>0</v>
      </c>
      <c r="J164" s="46" t="str">
        <f>IF((SUM(E158:E163)&gt;paramètres!$E$20),SUM(E158:E163)-paramètres!$E$20,"")</f>
        <v/>
      </c>
      <c r="K164" s="148"/>
    </row>
    <row r="165" spans="1:11" x14ac:dyDescent="0.25">
      <c r="A165" s="10">
        <f t="shared" ref="A165" si="108">A164+1</f>
        <v>42163</v>
      </c>
      <c r="B165" s="11" t="str">
        <f t="shared" si="73"/>
        <v>lundi</v>
      </c>
      <c r="C165" s="10">
        <f t="shared" si="78"/>
        <v>42163</v>
      </c>
      <c r="D165" s="43"/>
      <c r="E165" s="44"/>
      <c r="F165" s="50"/>
      <c r="G165" s="45"/>
      <c r="H165" s="46" t="str">
        <f t="shared" si="74"/>
        <v/>
      </c>
      <c r="I165" s="46"/>
      <c r="J165" s="46"/>
      <c r="K165" s="148">
        <f t="shared" si="87"/>
        <v>24</v>
      </c>
    </row>
    <row r="166" spans="1:11" x14ac:dyDescent="0.25">
      <c r="A166" s="10">
        <f t="shared" ref="A166" si="109">A165+1</f>
        <v>42164</v>
      </c>
      <c r="B166" s="11" t="str">
        <f t="shared" si="73"/>
        <v>mardi</v>
      </c>
      <c r="C166" s="10">
        <f t="shared" si="78"/>
        <v>42164</v>
      </c>
      <c r="D166" s="43">
        <v>0.31250000000000006</v>
      </c>
      <c r="E166" s="44"/>
      <c r="F166" s="50"/>
      <c r="G166" s="45"/>
      <c r="H166" s="46" t="str">
        <f t="shared" si="74"/>
        <v/>
      </c>
      <c r="I166" s="46"/>
      <c r="J166" s="46"/>
      <c r="K166" s="148"/>
    </row>
    <row r="167" spans="1:11" x14ac:dyDescent="0.25">
      <c r="A167" s="10">
        <f t="shared" ref="A167" si="110">A166+1</f>
        <v>42165</v>
      </c>
      <c r="B167" s="11" t="str">
        <f t="shared" si="73"/>
        <v>mercredi</v>
      </c>
      <c r="C167" s="10">
        <f t="shared" si="78"/>
        <v>42165</v>
      </c>
      <c r="D167" s="43">
        <v>0.31250000000000006</v>
      </c>
      <c r="E167" s="44"/>
      <c r="F167" s="50"/>
      <c r="G167" s="45"/>
      <c r="H167" s="46" t="str">
        <f t="shared" si="74"/>
        <v/>
      </c>
      <c r="I167" s="46"/>
      <c r="J167" s="46"/>
      <c r="K167" s="148"/>
    </row>
    <row r="168" spans="1:11" x14ac:dyDescent="0.25">
      <c r="A168" s="10">
        <f t="shared" ref="A168" si="111">A167+1</f>
        <v>42166</v>
      </c>
      <c r="B168" s="11" t="str">
        <f t="shared" si="73"/>
        <v>jeudi</v>
      </c>
      <c r="C168" s="10">
        <f t="shared" si="78"/>
        <v>42166</v>
      </c>
      <c r="D168" s="43">
        <v>0.31250000000000006</v>
      </c>
      <c r="E168" s="44"/>
      <c r="F168" s="50"/>
      <c r="G168" s="45"/>
      <c r="H168" s="46" t="str">
        <f t="shared" si="74"/>
        <v/>
      </c>
      <c r="I168" s="46"/>
      <c r="J168" s="46"/>
      <c r="K168" s="148"/>
    </row>
    <row r="169" spans="1:11" x14ac:dyDescent="0.25">
      <c r="A169" s="10">
        <f t="shared" ref="A169" si="112">A168+1</f>
        <v>42167</v>
      </c>
      <c r="B169" s="11" t="str">
        <f t="shared" si="73"/>
        <v>vendredi</v>
      </c>
      <c r="C169" s="10">
        <f t="shared" si="78"/>
        <v>42167</v>
      </c>
      <c r="D169" s="43">
        <v>0.32291666666666669</v>
      </c>
      <c r="E169" s="44"/>
      <c r="F169" s="50"/>
      <c r="G169" s="45"/>
      <c r="H169" s="46" t="str">
        <f t="shared" si="74"/>
        <v/>
      </c>
      <c r="I169" s="46"/>
      <c r="J169" s="46"/>
      <c r="K169" s="148"/>
    </row>
    <row r="170" spans="1:11" x14ac:dyDescent="0.25">
      <c r="A170" s="10">
        <f t="shared" ref="A170" si="113">A169+1</f>
        <v>42168</v>
      </c>
      <c r="B170" s="11" t="str">
        <f t="shared" si="73"/>
        <v>samedi</v>
      </c>
      <c r="C170" s="10">
        <f t="shared" si="78"/>
        <v>42168</v>
      </c>
      <c r="D170" s="43"/>
      <c r="E170" s="44"/>
      <c r="F170" s="50"/>
      <c r="G170" s="45"/>
      <c r="H170" s="46" t="str">
        <f t="shared" si="74"/>
        <v/>
      </c>
      <c r="I170" s="46"/>
      <c r="J170" s="46"/>
      <c r="K170" s="148"/>
    </row>
    <row r="171" spans="1:11" x14ac:dyDescent="0.25">
      <c r="A171" s="10">
        <f t="shared" ref="A171" si="114">A170+1</f>
        <v>42169</v>
      </c>
      <c r="B171" s="11" t="str">
        <f t="shared" si="73"/>
        <v>dimanche</v>
      </c>
      <c r="C171" s="10">
        <f t="shared" si="78"/>
        <v>42169</v>
      </c>
      <c r="D171" s="43"/>
      <c r="E171" s="44"/>
      <c r="F171" s="39">
        <f>SUM(E165:E170)</f>
        <v>0</v>
      </c>
      <c r="G171" s="45"/>
      <c r="H171" s="46" t="str">
        <f t="shared" si="74"/>
        <v/>
      </c>
      <c r="I171" s="57">
        <f>SUM(H165:H170)</f>
        <v>0</v>
      </c>
      <c r="J171" s="46" t="str">
        <f>IF((SUM(E165:E170)&gt;paramètres!$E$20),SUM(E165:E170)-paramètres!$E$20,"")</f>
        <v/>
      </c>
      <c r="K171" s="148"/>
    </row>
    <row r="172" spans="1:11" x14ac:dyDescent="0.25">
      <c r="A172" s="10">
        <f t="shared" ref="A172" si="115">A171+1</f>
        <v>42170</v>
      </c>
      <c r="B172" s="11" t="str">
        <f t="shared" si="73"/>
        <v>lundi</v>
      </c>
      <c r="C172" s="10">
        <f t="shared" si="78"/>
        <v>42170</v>
      </c>
      <c r="D172" s="43">
        <v>0.32291666666666663</v>
      </c>
      <c r="E172" s="44"/>
      <c r="F172" s="50"/>
      <c r="G172" s="45"/>
      <c r="H172" s="46" t="str">
        <f t="shared" si="74"/>
        <v/>
      </c>
      <c r="I172" s="46"/>
      <c r="J172" s="46"/>
      <c r="K172" s="148">
        <f t="shared" si="87"/>
        <v>25</v>
      </c>
    </row>
    <row r="173" spans="1:11" x14ac:dyDescent="0.25">
      <c r="A173" s="10">
        <f t="shared" ref="A173" si="116">A172+1</f>
        <v>42171</v>
      </c>
      <c r="B173" s="11" t="str">
        <f t="shared" si="73"/>
        <v>mardi</v>
      </c>
      <c r="C173" s="10">
        <f t="shared" si="78"/>
        <v>42171</v>
      </c>
      <c r="D173" s="43">
        <v>0.31250000000000006</v>
      </c>
      <c r="E173" s="44"/>
      <c r="F173" s="50"/>
      <c r="G173" s="45"/>
      <c r="H173" s="46" t="str">
        <f t="shared" si="74"/>
        <v/>
      </c>
      <c r="I173" s="46"/>
      <c r="J173" s="46"/>
      <c r="K173" s="148"/>
    </row>
    <row r="174" spans="1:11" x14ac:dyDescent="0.25">
      <c r="A174" s="10">
        <f t="shared" ref="A174" si="117">A173+1</f>
        <v>42172</v>
      </c>
      <c r="B174" s="11" t="str">
        <f t="shared" si="73"/>
        <v>mercredi</v>
      </c>
      <c r="C174" s="10">
        <f t="shared" si="78"/>
        <v>42172</v>
      </c>
      <c r="D174" s="43">
        <v>0.31250000000000006</v>
      </c>
      <c r="E174" s="44"/>
      <c r="F174" s="50"/>
      <c r="G174" s="45"/>
      <c r="H174" s="46" t="str">
        <f t="shared" si="74"/>
        <v/>
      </c>
      <c r="I174" s="46"/>
      <c r="J174" s="46"/>
      <c r="K174" s="148"/>
    </row>
    <row r="175" spans="1:11" x14ac:dyDescent="0.25">
      <c r="A175" s="10">
        <f t="shared" ref="A175" si="118">A174+1</f>
        <v>42173</v>
      </c>
      <c r="B175" s="11" t="str">
        <f t="shared" si="73"/>
        <v>jeudi</v>
      </c>
      <c r="C175" s="10">
        <f t="shared" si="78"/>
        <v>42173</v>
      </c>
      <c r="D175" s="43">
        <v>0.31250000000000006</v>
      </c>
      <c r="E175" s="44"/>
      <c r="F175" s="50"/>
      <c r="G175" s="45"/>
      <c r="H175" s="46" t="str">
        <f t="shared" si="74"/>
        <v/>
      </c>
      <c r="I175" s="46"/>
      <c r="J175" s="46"/>
      <c r="K175" s="148"/>
    </row>
    <row r="176" spans="1:11" x14ac:dyDescent="0.25">
      <c r="A176" s="10">
        <f t="shared" ref="A176" si="119">A175+1</f>
        <v>42174</v>
      </c>
      <c r="B176" s="11" t="str">
        <f t="shared" si="73"/>
        <v>vendredi</v>
      </c>
      <c r="C176" s="10">
        <f t="shared" si="78"/>
        <v>42174</v>
      </c>
      <c r="D176" s="43">
        <v>0.32291666666666669</v>
      </c>
      <c r="E176" s="44"/>
      <c r="F176" s="50"/>
      <c r="G176" s="45"/>
      <c r="H176" s="46" t="str">
        <f t="shared" si="74"/>
        <v/>
      </c>
      <c r="I176" s="46"/>
      <c r="J176" s="46"/>
      <c r="K176" s="148"/>
    </row>
    <row r="177" spans="1:11" x14ac:dyDescent="0.25">
      <c r="A177" s="10">
        <f t="shared" ref="A177" si="120">A176+1</f>
        <v>42175</v>
      </c>
      <c r="B177" s="11" t="str">
        <f t="shared" si="73"/>
        <v>samedi</v>
      </c>
      <c r="C177" s="10">
        <f t="shared" si="78"/>
        <v>42175</v>
      </c>
      <c r="D177" s="43"/>
      <c r="E177" s="44"/>
      <c r="F177" s="50"/>
      <c r="G177" s="45"/>
      <c r="H177" s="46" t="str">
        <f t="shared" si="74"/>
        <v/>
      </c>
      <c r="I177" s="46"/>
      <c r="J177" s="46"/>
      <c r="K177" s="148"/>
    </row>
    <row r="178" spans="1:11" x14ac:dyDescent="0.25">
      <c r="A178" s="10">
        <f t="shared" ref="A178" si="121">A177+1</f>
        <v>42176</v>
      </c>
      <c r="B178" s="11" t="str">
        <f t="shared" si="73"/>
        <v>dimanche</v>
      </c>
      <c r="C178" s="10">
        <f t="shared" si="78"/>
        <v>42176</v>
      </c>
      <c r="D178" s="43"/>
      <c r="E178" s="44"/>
      <c r="F178" s="39">
        <f>SUM(E172:E177)</f>
        <v>0</v>
      </c>
      <c r="G178" s="45"/>
      <c r="H178" s="46" t="str">
        <f t="shared" si="74"/>
        <v/>
      </c>
      <c r="I178" s="57">
        <f>SUM(H172:H177)</f>
        <v>0</v>
      </c>
      <c r="J178" s="46" t="str">
        <f>IF((SUM(E172:E177)&gt;paramètres!$E$20),SUM(E172:E177)-paramètres!$E$20,"")</f>
        <v/>
      </c>
      <c r="K178" s="148"/>
    </row>
    <row r="179" spans="1:11" x14ac:dyDescent="0.25">
      <c r="A179" s="10">
        <f t="shared" ref="A179" si="122">A178+1</f>
        <v>42177</v>
      </c>
      <c r="B179" s="11" t="str">
        <f t="shared" si="73"/>
        <v>lundi</v>
      </c>
      <c r="C179" s="10">
        <f t="shared" si="78"/>
        <v>42177</v>
      </c>
      <c r="D179" s="43">
        <v>0.32291666666666663</v>
      </c>
      <c r="E179" s="44"/>
      <c r="F179" s="50"/>
      <c r="G179" s="45"/>
      <c r="H179" s="46" t="str">
        <f t="shared" si="74"/>
        <v/>
      </c>
      <c r="I179" s="46"/>
      <c r="J179" s="46"/>
      <c r="K179" s="148">
        <f t="shared" si="87"/>
        <v>26</v>
      </c>
    </row>
    <row r="180" spans="1:11" x14ac:dyDescent="0.25">
      <c r="A180" s="10">
        <f t="shared" ref="A180" si="123">A179+1</f>
        <v>42178</v>
      </c>
      <c r="B180" s="11" t="str">
        <f t="shared" si="73"/>
        <v>mardi</v>
      </c>
      <c r="C180" s="10">
        <f t="shared" si="78"/>
        <v>42178</v>
      </c>
      <c r="D180" s="43">
        <v>0.31250000000000006</v>
      </c>
      <c r="E180" s="44"/>
      <c r="F180" s="50"/>
      <c r="G180" s="45"/>
      <c r="H180" s="46" t="str">
        <f t="shared" si="74"/>
        <v/>
      </c>
      <c r="I180" s="46"/>
      <c r="J180" s="46"/>
      <c r="K180" s="148"/>
    </row>
    <row r="181" spans="1:11" x14ac:dyDescent="0.25">
      <c r="A181" s="10">
        <f t="shared" ref="A181" si="124">A180+1</f>
        <v>42179</v>
      </c>
      <c r="B181" s="11" t="str">
        <f t="shared" si="73"/>
        <v>mercredi</v>
      </c>
      <c r="C181" s="10">
        <f t="shared" si="78"/>
        <v>42179</v>
      </c>
      <c r="D181" s="43">
        <v>0.31250000000000006</v>
      </c>
      <c r="E181" s="44"/>
      <c r="F181" s="50"/>
      <c r="G181" s="45"/>
      <c r="H181" s="46" t="str">
        <f t="shared" si="74"/>
        <v/>
      </c>
      <c r="I181" s="46"/>
      <c r="J181" s="46"/>
      <c r="K181" s="148"/>
    </row>
    <row r="182" spans="1:11" x14ac:dyDescent="0.25">
      <c r="A182" s="10">
        <f t="shared" ref="A182" si="125">A181+1</f>
        <v>42180</v>
      </c>
      <c r="B182" s="11" t="str">
        <f t="shared" si="73"/>
        <v>jeudi</v>
      </c>
      <c r="C182" s="10">
        <f t="shared" si="78"/>
        <v>42180</v>
      </c>
      <c r="D182" s="43">
        <v>0.31250000000000006</v>
      </c>
      <c r="E182" s="44"/>
      <c r="F182" s="50"/>
      <c r="G182" s="45"/>
      <c r="H182" s="46" t="str">
        <f t="shared" si="74"/>
        <v/>
      </c>
      <c r="I182" s="46"/>
      <c r="J182" s="46"/>
      <c r="K182" s="148"/>
    </row>
    <row r="183" spans="1:11" x14ac:dyDescent="0.25">
      <c r="A183" s="10">
        <f t="shared" ref="A183" si="126">A182+1</f>
        <v>42181</v>
      </c>
      <c r="B183" s="11" t="str">
        <f t="shared" si="73"/>
        <v>vendredi</v>
      </c>
      <c r="C183" s="10">
        <f t="shared" si="78"/>
        <v>42181</v>
      </c>
      <c r="D183" s="43">
        <v>0.32291666666666669</v>
      </c>
      <c r="E183" s="44"/>
      <c r="F183" s="50"/>
      <c r="G183" s="45"/>
      <c r="H183" s="46" t="str">
        <f t="shared" si="74"/>
        <v/>
      </c>
      <c r="I183" s="46"/>
      <c r="J183" s="46"/>
      <c r="K183" s="148"/>
    </row>
    <row r="184" spans="1:11" x14ac:dyDescent="0.25">
      <c r="A184" s="10">
        <f t="shared" ref="A184" si="127">A183+1</f>
        <v>42182</v>
      </c>
      <c r="B184" s="11" t="str">
        <f t="shared" si="73"/>
        <v>samedi</v>
      </c>
      <c r="C184" s="10">
        <f t="shared" si="78"/>
        <v>42182</v>
      </c>
      <c r="D184" s="43"/>
      <c r="E184" s="44"/>
      <c r="F184" s="50"/>
      <c r="G184" s="45"/>
      <c r="H184" s="46" t="str">
        <f t="shared" si="74"/>
        <v/>
      </c>
      <c r="I184" s="46"/>
      <c r="J184" s="46"/>
      <c r="K184" s="148"/>
    </row>
    <row r="185" spans="1:11" x14ac:dyDescent="0.25">
      <c r="A185" s="10">
        <f t="shared" ref="A185" si="128">A184+1</f>
        <v>42183</v>
      </c>
      <c r="B185" s="11" t="str">
        <f t="shared" si="73"/>
        <v>dimanche</v>
      </c>
      <c r="C185" s="10">
        <f t="shared" si="78"/>
        <v>42183</v>
      </c>
      <c r="D185" s="43"/>
      <c r="E185" s="44"/>
      <c r="F185" s="39">
        <f>SUM(E179:E184)</f>
        <v>0</v>
      </c>
      <c r="G185" s="45"/>
      <c r="H185" s="46" t="str">
        <f t="shared" si="74"/>
        <v/>
      </c>
      <c r="I185" s="57">
        <f>SUM(H179:H184)</f>
        <v>0</v>
      </c>
      <c r="J185" s="46" t="str">
        <f>IF((SUM(E179:E184)&gt;paramètres!$E$20),SUM(E179:E184)-paramètres!$E$20,"")</f>
        <v/>
      </c>
      <c r="K185" s="148"/>
    </row>
    <row r="186" spans="1:11" x14ac:dyDescent="0.25">
      <c r="A186" s="10">
        <f t="shared" ref="A186" si="129">A185+1</f>
        <v>42184</v>
      </c>
      <c r="B186" s="11" t="str">
        <f t="shared" si="73"/>
        <v>lundi</v>
      </c>
      <c r="C186" s="10">
        <f t="shared" si="78"/>
        <v>42184</v>
      </c>
      <c r="D186" s="43">
        <v>0.32291666666666663</v>
      </c>
      <c r="E186" s="44"/>
      <c r="F186" s="50"/>
      <c r="G186" s="45"/>
      <c r="H186" s="46" t="str">
        <f t="shared" si="74"/>
        <v/>
      </c>
      <c r="I186" s="46"/>
      <c r="J186" s="46"/>
      <c r="K186" s="148">
        <f t="shared" si="87"/>
        <v>27</v>
      </c>
    </row>
    <row r="187" spans="1:11" x14ac:dyDescent="0.25">
      <c r="A187" s="10">
        <f t="shared" ref="A187" si="130">A186+1</f>
        <v>42185</v>
      </c>
      <c r="B187" s="11" t="str">
        <f t="shared" si="73"/>
        <v>mardi</v>
      </c>
      <c r="C187" s="10">
        <f t="shared" si="78"/>
        <v>42185</v>
      </c>
      <c r="D187" s="43">
        <v>0.31250000000000006</v>
      </c>
      <c r="E187" s="44"/>
      <c r="F187" s="50"/>
      <c r="G187" s="45"/>
      <c r="H187" s="46" t="str">
        <f t="shared" si="74"/>
        <v/>
      </c>
      <c r="I187" s="46"/>
      <c r="J187" s="46"/>
      <c r="K187" s="148"/>
    </row>
    <row r="188" spans="1:11" x14ac:dyDescent="0.25">
      <c r="A188" s="10">
        <f t="shared" ref="A188" si="131">A187+1</f>
        <v>42186</v>
      </c>
      <c r="B188" s="11" t="str">
        <f t="shared" si="73"/>
        <v>mercredi</v>
      </c>
      <c r="C188" s="10">
        <f t="shared" si="78"/>
        <v>42186</v>
      </c>
      <c r="D188" s="43">
        <v>0.31250000000000006</v>
      </c>
      <c r="E188" s="44"/>
      <c r="F188" s="50"/>
      <c r="G188" s="45"/>
      <c r="H188" s="46" t="str">
        <f t="shared" si="74"/>
        <v/>
      </c>
      <c r="I188" s="46"/>
      <c r="J188" s="46"/>
      <c r="K188" s="148"/>
    </row>
    <row r="189" spans="1:11" x14ac:dyDescent="0.25">
      <c r="A189" s="10">
        <f t="shared" ref="A189" si="132">A188+1</f>
        <v>42187</v>
      </c>
      <c r="B189" s="11" t="str">
        <f t="shared" si="73"/>
        <v>jeudi</v>
      </c>
      <c r="C189" s="10">
        <f t="shared" si="78"/>
        <v>42187</v>
      </c>
      <c r="D189" s="43">
        <v>0.31250000000000006</v>
      </c>
      <c r="E189" s="44"/>
      <c r="F189" s="50"/>
      <c r="G189" s="45"/>
      <c r="H189" s="46" t="str">
        <f t="shared" si="74"/>
        <v/>
      </c>
      <c r="I189" s="46"/>
      <c r="J189" s="46"/>
      <c r="K189" s="148"/>
    </row>
    <row r="190" spans="1:11" x14ac:dyDescent="0.25">
      <c r="A190" s="10">
        <f t="shared" ref="A190" si="133">A189+1</f>
        <v>42188</v>
      </c>
      <c r="B190" s="11" t="str">
        <f t="shared" si="73"/>
        <v>vendredi</v>
      </c>
      <c r="C190" s="10">
        <f t="shared" si="78"/>
        <v>42188</v>
      </c>
      <c r="D190" s="43">
        <v>0.32291666666666669</v>
      </c>
      <c r="E190" s="44"/>
      <c r="F190" s="50"/>
      <c r="G190" s="45"/>
      <c r="H190" s="46" t="str">
        <f t="shared" si="74"/>
        <v/>
      </c>
      <c r="I190" s="46"/>
      <c r="J190" s="46"/>
      <c r="K190" s="148"/>
    </row>
    <row r="191" spans="1:11" x14ac:dyDescent="0.25">
      <c r="A191" s="10">
        <f t="shared" ref="A191" si="134">A190+1</f>
        <v>42189</v>
      </c>
      <c r="B191" s="11" t="str">
        <f t="shared" si="73"/>
        <v>samedi</v>
      </c>
      <c r="C191" s="10">
        <f t="shared" si="78"/>
        <v>42189</v>
      </c>
      <c r="D191" s="43"/>
      <c r="E191" s="44"/>
      <c r="F191" s="50"/>
      <c r="G191" s="45"/>
      <c r="H191" s="46" t="str">
        <f t="shared" si="74"/>
        <v/>
      </c>
      <c r="I191" s="46"/>
      <c r="J191" s="46"/>
      <c r="K191" s="148"/>
    </row>
    <row r="192" spans="1:11" x14ac:dyDescent="0.25">
      <c r="A192" s="10">
        <f t="shared" ref="A192" si="135">A191+1</f>
        <v>42190</v>
      </c>
      <c r="B192" s="11" t="str">
        <f t="shared" si="73"/>
        <v>dimanche</v>
      </c>
      <c r="C192" s="10">
        <f t="shared" si="78"/>
        <v>42190</v>
      </c>
      <c r="D192" s="43"/>
      <c r="E192" s="44"/>
      <c r="F192" s="39">
        <f>SUM(E186:E191)</f>
        <v>0</v>
      </c>
      <c r="G192" s="45"/>
      <c r="H192" s="46" t="str">
        <f t="shared" si="74"/>
        <v/>
      </c>
      <c r="I192" s="57">
        <f>SUM(H186:H191)</f>
        <v>0</v>
      </c>
      <c r="J192" s="46" t="str">
        <f>IF((SUM(E186:E191)&gt;paramètres!$E$20),SUM(E186:E191)-paramètres!$E$20,"")</f>
        <v/>
      </c>
      <c r="K192" s="148"/>
    </row>
    <row r="193" spans="1:11" x14ac:dyDescent="0.25">
      <c r="A193" s="10">
        <f t="shared" ref="A193" si="136">A192+1</f>
        <v>42191</v>
      </c>
      <c r="B193" s="11" t="str">
        <f t="shared" si="73"/>
        <v>lundi</v>
      </c>
      <c r="C193" s="10">
        <f t="shared" si="78"/>
        <v>42191</v>
      </c>
      <c r="D193" s="43">
        <v>0.32291666666666663</v>
      </c>
      <c r="E193" s="44"/>
      <c r="F193" s="50"/>
      <c r="G193" s="45"/>
      <c r="H193" s="46" t="str">
        <f t="shared" si="74"/>
        <v/>
      </c>
      <c r="I193" s="46"/>
      <c r="J193" s="46"/>
      <c r="K193" s="148">
        <f t="shared" si="87"/>
        <v>28</v>
      </c>
    </row>
    <row r="194" spans="1:11" x14ac:dyDescent="0.25">
      <c r="A194" s="10">
        <f t="shared" ref="A194" si="137">A193+1</f>
        <v>42192</v>
      </c>
      <c r="B194" s="11" t="str">
        <f t="shared" si="73"/>
        <v>mardi</v>
      </c>
      <c r="C194" s="10">
        <f t="shared" si="78"/>
        <v>42192</v>
      </c>
      <c r="D194" s="43">
        <v>0.31250000000000006</v>
      </c>
      <c r="E194" s="44"/>
      <c r="F194" s="50"/>
      <c r="G194" s="45"/>
      <c r="H194" s="46" t="str">
        <f t="shared" si="74"/>
        <v/>
      </c>
      <c r="I194" s="46"/>
      <c r="J194" s="46"/>
      <c r="K194" s="148"/>
    </row>
    <row r="195" spans="1:11" x14ac:dyDescent="0.25">
      <c r="A195" s="10">
        <f t="shared" ref="A195" si="138">A194+1</f>
        <v>42193</v>
      </c>
      <c r="B195" s="11" t="str">
        <f t="shared" si="73"/>
        <v>mercredi</v>
      </c>
      <c r="C195" s="10">
        <f t="shared" si="78"/>
        <v>42193</v>
      </c>
      <c r="D195" s="43">
        <v>0.31250000000000006</v>
      </c>
      <c r="E195" s="44"/>
      <c r="F195" s="50"/>
      <c r="G195" s="45"/>
      <c r="H195" s="46" t="str">
        <f t="shared" si="74"/>
        <v/>
      </c>
      <c r="I195" s="46"/>
      <c r="J195" s="46"/>
      <c r="K195" s="148"/>
    </row>
    <row r="196" spans="1:11" x14ac:dyDescent="0.25">
      <c r="A196" s="10">
        <f t="shared" ref="A196" si="139">A195+1</f>
        <v>42194</v>
      </c>
      <c r="B196" s="11" t="str">
        <f t="shared" si="73"/>
        <v>jeudi</v>
      </c>
      <c r="C196" s="10">
        <f t="shared" si="78"/>
        <v>42194</v>
      </c>
      <c r="D196" s="43">
        <v>0.31250000000000006</v>
      </c>
      <c r="E196" s="44"/>
      <c r="F196" s="50"/>
      <c r="G196" s="45"/>
      <c r="H196" s="46" t="str">
        <f t="shared" si="74"/>
        <v/>
      </c>
      <c r="I196" s="46"/>
      <c r="J196" s="46"/>
      <c r="K196" s="148"/>
    </row>
    <row r="197" spans="1:11" x14ac:dyDescent="0.25">
      <c r="A197" s="10">
        <f t="shared" ref="A197" si="140">A196+1</f>
        <v>42195</v>
      </c>
      <c r="B197" s="11" t="str">
        <f t="shared" ref="B197:B260" si="141">LOWER(TEXT(C197,"jjjj"))</f>
        <v>vendredi</v>
      </c>
      <c r="C197" s="10">
        <f t="shared" si="78"/>
        <v>42195</v>
      </c>
      <c r="D197" s="43">
        <v>0.32291666666666669</v>
      </c>
      <c r="E197" s="44"/>
      <c r="F197" s="50"/>
      <c r="G197" s="45"/>
      <c r="H197" s="46" t="str">
        <f t="shared" ref="H197:H260" si="142">IF(OR(G197="AT",G197="AM",G197="CMat",G197="For"),D197,"")</f>
        <v/>
      </c>
      <c r="I197" s="46"/>
      <c r="J197" s="46"/>
      <c r="K197" s="148"/>
    </row>
    <row r="198" spans="1:11" x14ac:dyDescent="0.25">
      <c r="A198" s="10">
        <f t="shared" ref="A198" si="143">A197+1</f>
        <v>42196</v>
      </c>
      <c r="B198" s="11" t="str">
        <f t="shared" si="141"/>
        <v>samedi</v>
      </c>
      <c r="C198" s="10">
        <f t="shared" si="78"/>
        <v>42196</v>
      </c>
      <c r="D198" s="43"/>
      <c r="E198" s="44"/>
      <c r="F198" s="50"/>
      <c r="G198" s="45"/>
      <c r="H198" s="46" t="str">
        <f t="shared" si="142"/>
        <v/>
      </c>
      <c r="I198" s="46"/>
      <c r="J198" s="46"/>
      <c r="K198" s="148"/>
    </row>
    <row r="199" spans="1:11" x14ac:dyDescent="0.25">
      <c r="A199" s="10">
        <f t="shared" ref="A199" si="144">A198+1</f>
        <v>42197</v>
      </c>
      <c r="B199" s="11" t="str">
        <f t="shared" si="141"/>
        <v>dimanche</v>
      </c>
      <c r="C199" s="10">
        <f t="shared" si="78"/>
        <v>42197</v>
      </c>
      <c r="D199" s="43"/>
      <c r="E199" s="44"/>
      <c r="F199" s="39">
        <f>SUM(E193:E198)</f>
        <v>0</v>
      </c>
      <c r="G199" s="45"/>
      <c r="H199" s="46" t="str">
        <f t="shared" si="142"/>
        <v/>
      </c>
      <c r="I199" s="57">
        <f>SUM(H193:H198)</f>
        <v>0</v>
      </c>
      <c r="J199" s="46" t="str">
        <f>IF((SUM(E193:E198)&gt;paramètres!$E$20),SUM(E193:E198)-paramètres!$E$20,"")</f>
        <v/>
      </c>
      <c r="K199" s="148"/>
    </row>
    <row r="200" spans="1:11" x14ac:dyDescent="0.25">
      <c r="A200" s="10">
        <f t="shared" ref="A200" si="145">A199+1</f>
        <v>42198</v>
      </c>
      <c r="B200" s="11" t="str">
        <f t="shared" si="141"/>
        <v>lundi</v>
      </c>
      <c r="C200" s="10">
        <f t="shared" ref="C200:C263" si="146">C199+1</f>
        <v>42198</v>
      </c>
      <c r="D200" s="43"/>
      <c r="E200" s="44"/>
      <c r="F200" s="50"/>
      <c r="G200" s="45"/>
      <c r="H200" s="46" t="str">
        <f t="shared" si="142"/>
        <v/>
      </c>
      <c r="I200" s="46"/>
      <c r="J200" s="46"/>
      <c r="K200" s="148">
        <f t="shared" si="87"/>
        <v>29</v>
      </c>
    </row>
    <row r="201" spans="1:11" x14ac:dyDescent="0.25">
      <c r="A201" s="10">
        <f t="shared" ref="A201" si="147">A200+1</f>
        <v>42199</v>
      </c>
      <c r="B201" s="11" t="str">
        <f t="shared" si="141"/>
        <v>mardi</v>
      </c>
      <c r="C201" s="10">
        <f t="shared" si="146"/>
        <v>42199</v>
      </c>
      <c r="D201" s="43" t="s">
        <v>46</v>
      </c>
      <c r="E201" s="44"/>
      <c r="F201" s="50"/>
      <c r="G201" s="45" t="s">
        <v>46</v>
      </c>
      <c r="H201" s="46" t="str">
        <f t="shared" si="142"/>
        <v/>
      </c>
      <c r="I201" s="46"/>
      <c r="J201" s="46"/>
      <c r="K201" s="148"/>
    </row>
    <row r="202" spans="1:11" x14ac:dyDescent="0.25">
      <c r="A202" s="10">
        <f t="shared" ref="A202" si="148">A201+1</f>
        <v>42200</v>
      </c>
      <c r="B202" s="11" t="str">
        <f t="shared" si="141"/>
        <v>mercredi</v>
      </c>
      <c r="C202" s="10">
        <f t="shared" si="146"/>
        <v>42200</v>
      </c>
      <c r="D202" s="43" t="s">
        <v>46</v>
      </c>
      <c r="E202" s="44"/>
      <c r="F202" s="50"/>
      <c r="G202" s="45" t="s">
        <v>46</v>
      </c>
      <c r="H202" s="46" t="str">
        <f t="shared" si="142"/>
        <v/>
      </c>
      <c r="I202" s="46"/>
      <c r="J202" s="46"/>
      <c r="K202" s="148"/>
    </row>
    <row r="203" spans="1:11" x14ac:dyDescent="0.25">
      <c r="A203" s="10">
        <f t="shared" ref="A203" si="149">A202+1</f>
        <v>42201</v>
      </c>
      <c r="B203" s="11" t="str">
        <f t="shared" si="141"/>
        <v>jeudi</v>
      </c>
      <c r="C203" s="10">
        <f t="shared" si="146"/>
        <v>42201</v>
      </c>
      <c r="D203" s="43" t="s">
        <v>46</v>
      </c>
      <c r="E203" s="44"/>
      <c r="F203" s="50"/>
      <c r="G203" s="45" t="s">
        <v>46</v>
      </c>
      <c r="H203" s="46" t="str">
        <f t="shared" si="142"/>
        <v/>
      </c>
      <c r="I203" s="46"/>
      <c r="J203" s="46"/>
      <c r="K203" s="148"/>
    </row>
    <row r="204" spans="1:11" x14ac:dyDescent="0.25">
      <c r="A204" s="10">
        <f t="shared" ref="A204" si="150">A203+1</f>
        <v>42202</v>
      </c>
      <c r="B204" s="11" t="str">
        <f t="shared" si="141"/>
        <v>vendredi</v>
      </c>
      <c r="C204" s="10">
        <f t="shared" si="146"/>
        <v>42202</v>
      </c>
      <c r="D204" s="43" t="s">
        <v>46</v>
      </c>
      <c r="E204" s="44"/>
      <c r="F204" s="50"/>
      <c r="G204" s="45" t="s">
        <v>46</v>
      </c>
      <c r="H204" s="46" t="str">
        <f t="shared" si="142"/>
        <v/>
      </c>
      <c r="I204" s="46"/>
      <c r="J204" s="46"/>
      <c r="K204" s="148"/>
    </row>
    <row r="205" spans="1:11" x14ac:dyDescent="0.25">
      <c r="A205" s="10">
        <f t="shared" ref="A205" si="151">A204+1</f>
        <v>42203</v>
      </c>
      <c r="B205" s="11" t="str">
        <f t="shared" si="141"/>
        <v>samedi</v>
      </c>
      <c r="C205" s="10">
        <f t="shared" si="146"/>
        <v>42203</v>
      </c>
      <c r="D205" s="43"/>
      <c r="E205" s="44"/>
      <c r="F205" s="50"/>
      <c r="G205" s="45"/>
      <c r="H205" s="46" t="str">
        <f t="shared" si="142"/>
        <v/>
      </c>
      <c r="I205" s="46"/>
      <c r="J205" s="46"/>
      <c r="K205" s="148"/>
    </row>
    <row r="206" spans="1:11" x14ac:dyDescent="0.25">
      <c r="A206" s="10">
        <f t="shared" ref="A206" si="152">A205+1</f>
        <v>42204</v>
      </c>
      <c r="B206" s="11" t="str">
        <f t="shared" si="141"/>
        <v>dimanche</v>
      </c>
      <c r="C206" s="10">
        <f t="shared" si="146"/>
        <v>42204</v>
      </c>
      <c r="D206" s="43"/>
      <c r="E206" s="44"/>
      <c r="F206" s="39">
        <f>SUM(E200:E205)</f>
        <v>0</v>
      </c>
      <c r="G206" s="45"/>
      <c r="H206" s="46" t="str">
        <f t="shared" si="142"/>
        <v/>
      </c>
      <c r="I206" s="57">
        <f>SUM(H200:H205)</f>
        <v>0</v>
      </c>
      <c r="J206" s="46" t="str">
        <f>IF((SUM(E200:E205)&gt;paramètres!$E$20),SUM(E200:E205)-paramètres!$E$20,"")</f>
        <v/>
      </c>
      <c r="K206" s="148"/>
    </row>
    <row r="207" spans="1:11" x14ac:dyDescent="0.25">
      <c r="A207" s="10">
        <f t="shared" ref="A207" si="153">A206+1</f>
        <v>42205</v>
      </c>
      <c r="B207" s="11" t="str">
        <f t="shared" si="141"/>
        <v>lundi</v>
      </c>
      <c r="C207" s="10">
        <f t="shared" si="146"/>
        <v>42205</v>
      </c>
      <c r="D207" s="43" t="s">
        <v>11</v>
      </c>
      <c r="E207" s="44"/>
      <c r="F207" s="50"/>
      <c r="G207" s="43" t="s">
        <v>11</v>
      </c>
      <c r="H207" s="46" t="str">
        <f t="shared" si="142"/>
        <v/>
      </c>
      <c r="I207" s="46"/>
      <c r="J207" s="46"/>
      <c r="K207" s="148">
        <f t="shared" si="87"/>
        <v>30</v>
      </c>
    </row>
    <row r="208" spans="1:11" x14ac:dyDescent="0.25">
      <c r="A208" s="10">
        <f t="shared" ref="A208" si="154">A207+1</f>
        <v>42206</v>
      </c>
      <c r="B208" s="11" t="str">
        <f t="shared" si="141"/>
        <v>mardi</v>
      </c>
      <c r="C208" s="10">
        <f t="shared" si="146"/>
        <v>42206</v>
      </c>
      <c r="D208" s="43" t="s">
        <v>11</v>
      </c>
      <c r="E208" s="44"/>
      <c r="F208" s="50"/>
      <c r="G208" s="43" t="s">
        <v>11</v>
      </c>
      <c r="H208" s="46" t="str">
        <f t="shared" si="142"/>
        <v/>
      </c>
      <c r="I208" s="46"/>
      <c r="J208" s="46"/>
      <c r="K208" s="148"/>
    </row>
    <row r="209" spans="1:11" x14ac:dyDescent="0.25">
      <c r="A209" s="10">
        <f t="shared" ref="A209" si="155">A208+1</f>
        <v>42207</v>
      </c>
      <c r="B209" s="11" t="str">
        <f t="shared" si="141"/>
        <v>mercredi</v>
      </c>
      <c r="C209" s="10">
        <f t="shared" si="146"/>
        <v>42207</v>
      </c>
      <c r="D209" s="43" t="s">
        <v>11</v>
      </c>
      <c r="E209" s="44"/>
      <c r="F209" s="50"/>
      <c r="G209" s="43" t="s">
        <v>11</v>
      </c>
      <c r="H209" s="46" t="str">
        <f t="shared" si="142"/>
        <v/>
      </c>
      <c r="I209" s="46"/>
      <c r="J209" s="46"/>
      <c r="K209" s="148"/>
    </row>
    <row r="210" spans="1:11" x14ac:dyDescent="0.25">
      <c r="A210" s="10">
        <f t="shared" ref="A210" si="156">A209+1</f>
        <v>42208</v>
      </c>
      <c r="B210" s="11" t="str">
        <f t="shared" si="141"/>
        <v>jeudi</v>
      </c>
      <c r="C210" s="10">
        <f t="shared" si="146"/>
        <v>42208</v>
      </c>
      <c r="D210" s="43" t="s">
        <v>11</v>
      </c>
      <c r="E210" s="44"/>
      <c r="F210" s="50"/>
      <c r="G210" s="43" t="s">
        <v>11</v>
      </c>
      <c r="H210" s="46" t="str">
        <f t="shared" si="142"/>
        <v/>
      </c>
      <c r="I210" s="46"/>
      <c r="J210" s="46"/>
      <c r="K210" s="148"/>
    </row>
    <row r="211" spans="1:11" x14ac:dyDescent="0.25">
      <c r="A211" s="10">
        <f t="shared" ref="A211" si="157">A210+1</f>
        <v>42209</v>
      </c>
      <c r="B211" s="11" t="str">
        <f t="shared" si="141"/>
        <v>vendredi</v>
      </c>
      <c r="C211" s="10">
        <f t="shared" si="146"/>
        <v>42209</v>
      </c>
      <c r="D211" s="43" t="s">
        <v>11</v>
      </c>
      <c r="E211" s="44"/>
      <c r="F211" s="50"/>
      <c r="G211" s="43" t="s">
        <v>11</v>
      </c>
      <c r="H211" s="46" t="str">
        <f t="shared" si="142"/>
        <v/>
      </c>
      <c r="I211" s="46"/>
      <c r="J211" s="46"/>
      <c r="K211" s="148"/>
    </row>
    <row r="212" spans="1:11" x14ac:dyDescent="0.25">
      <c r="A212" s="10">
        <f t="shared" ref="A212" si="158">A211+1</f>
        <v>42210</v>
      </c>
      <c r="B212" s="11" t="str">
        <f t="shared" si="141"/>
        <v>samedi</v>
      </c>
      <c r="C212" s="10">
        <f t="shared" si="146"/>
        <v>42210</v>
      </c>
      <c r="D212" s="43" t="s">
        <v>11</v>
      </c>
      <c r="E212" s="44"/>
      <c r="F212" s="50"/>
      <c r="G212" s="43" t="s">
        <v>11</v>
      </c>
      <c r="H212" s="46" t="str">
        <f t="shared" si="142"/>
        <v/>
      </c>
      <c r="I212" s="46"/>
      <c r="J212" s="46"/>
      <c r="K212" s="148"/>
    </row>
    <row r="213" spans="1:11" x14ac:dyDescent="0.25">
      <c r="A213" s="10">
        <f t="shared" ref="A213" si="159">A212+1</f>
        <v>42211</v>
      </c>
      <c r="B213" s="11" t="str">
        <f t="shared" si="141"/>
        <v>dimanche</v>
      </c>
      <c r="C213" s="10">
        <f t="shared" si="146"/>
        <v>42211</v>
      </c>
      <c r="D213" s="43"/>
      <c r="E213" s="44"/>
      <c r="F213" s="39">
        <f>SUM(E207:E212)</f>
        <v>0</v>
      </c>
      <c r="G213" s="45"/>
      <c r="H213" s="46" t="str">
        <f t="shared" si="142"/>
        <v/>
      </c>
      <c r="I213" s="57">
        <f>SUM(H207:H212)</f>
        <v>0</v>
      </c>
      <c r="J213" s="46" t="str">
        <f>IF((SUM(E207:E212)&gt;paramètres!$E$20),SUM(E207:E212)-paramètres!$E$20,"")</f>
        <v/>
      </c>
      <c r="K213" s="148"/>
    </row>
    <row r="214" spans="1:11" x14ac:dyDescent="0.25">
      <c r="A214" s="10">
        <f t="shared" ref="A214" si="160">A213+1</f>
        <v>42212</v>
      </c>
      <c r="B214" s="11" t="str">
        <f t="shared" si="141"/>
        <v>lundi</v>
      </c>
      <c r="C214" s="10">
        <f t="shared" si="146"/>
        <v>42212</v>
      </c>
      <c r="D214" s="43" t="s">
        <v>11</v>
      </c>
      <c r="E214" s="44"/>
      <c r="F214" s="50"/>
      <c r="G214" s="43" t="s">
        <v>11</v>
      </c>
      <c r="H214" s="46" t="str">
        <f t="shared" si="142"/>
        <v/>
      </c>
      <c r="I214" s="46"/>
      <c r="J214" s="46"/>
      <c r="K214" s="148">
        <f t="shared" ref="K214:K277" si="161">IF(WEEKDAY(A214,2)=1,WEEKNUM(A214),"")</f>
        <v>31</v>
      </c>
    </row>
    <row r="215" spans="1:11" x14ac:dyDescent="0.25">
      <c r="A215" s="10">
        <f t="shared" ref="A215" si="162">A214+1</f>
        <v>42213</v>
      </c>
      <c r="B215" s="11" t="str">
        <f t="shared" si="141"/>
        <v>mardi</v>
      </c>
      <c r="C215" s="10">
        <f t="shared" si="146"/>
        <v>42213</v>
      </c>
      <c r="D215" s="43" t="s">
        <v>11</v>
      </c>
      <c r="E215" s="44"/>
      <c r="F215" s="50"/>
      <c r="G215" s="43" t="s">
        <v>11</v>
      </c>
      <c r="H215" s="46" t="str">
        <f t="shared" si="142"/>
        <v/>
      </c>
      <c r="I215" s="46"/>
      <c r="J215" s="46"/>
      <c r="K215" s="148"/>
    </row>
    <row r="216" spans="1:11" x14ac:dyDescent="0.25">
      <c r="A216" s="10">
        <f t="shared" ref="A216" si="163">A215+1</f>
        <v>42214</v>
      </c>
      <c r="B216" s="11" t="str">
        <f t="shared" si="141"/>
        <v>mercredi</v>
      </c>
      <c r="C216" s="10">
        <f t="shared" si="146"/>
        <v>42214</v>
      </c>
      <c r="D216" s="43" t="s">
        <v>11</v>
      </c>
      <c r="E216" s="44"/>
      <c r="F216" s="50"/>
      <c r="G216" s="43" t="s">
        <v>11</v>
      </c>
      <c r="H216" s="46" t="str">
        <f t="shared" si="142"/>
        <v/>
      </c>
      <c r="I216" s="46"/>
      <c r="J216" s="46"/>
      <c r="K216" s="148"/>
    </row>
    <row r="217" spans="1:11" x14ac:dyDescent="0.25">
      <c r="A217" s="10">
        <f t="shared" ref="A217" si="164">A216+1</f>
        <v>42215</v>
      </c>
      <c r="B217" s="11" t="str">
        <f t="shared" si="141"/>
        <v>jeudi</v>
      </c>
      <c r="C217" s="10">
        <f t="shared" si="146"/>
        <v>42215</v>
      </c>
      <c r="D217" s="43" t="s">
        <v>11</v>
      </c>
      <c r="E217" s="44"/>
      <c r="F217" s="50"/>
      <c r="G217" s="43" t="s">
        <v>11</v>
      </c>
      <c r="H217" s="46" t="str">
        <f t="shared" si="142"/>
        <v/>
      </c>
      <c r="I217" s="46"/>
      <c r="J217" s="46"/>
      <c r="K217" s="148"/>
    </row>
    <row r="218" spans="1:11" x14ac:dyDescent="0.25">
      <c r="A218" s="10">
        <f t="shared" ref="A218" si="165">A217+1</f>
        <v>42216</v>
      </c>
      <c r="B218" s="11" t="str">
        <f t="shared" si="141"/>
        <v>vendredi</v>
      </c>
      <c r="C218" s="10">
        <f t="shared" si="146"/>
        <v>42216</v>
      </c>
      <c r="D218" s="43" t="s">
        <v>11</v>
      </c>
      <c r="E218" s="44"/>
      <c r="F218" s="50"/>
      <c r="G218" s="43" t="s">
        <v>11</v>
      </c>
      <c r="H218" s="46" t="str">
        <f t="shared" si="142"/>
        <v/>
      </c>
      <c r="I218" s="46"/>
      <c r="J218" s="46"/>
      <c r="K218" s="148"/>
    </row>
    <row r="219" spans="1:11" x14ac:dyDescent="0.25">
      <c r="A219" s="10">
        <f t="shared" ref="A219" si="166">A218+1</f>
        <v>42217</v>
      </c>
      <c r="B219" s="11" t="str">
        <f t="shared" si="141"/>
        <v>samedi</v>
      </c>
      <c r="C219" s="10">
        <f t="shared" si="146"/>
        <v>42217</v>
      </c>
      <c r="D219" s="43" t="s">
        <v>11</v>
      </c>
      <c r="E219" s="44"/>
      <c r="F219" s="50"/>
      <c r="G219" s="43" t="s">
        <v>11</v>
      </c>
      <c r="H219" s="46" t="str">
        <f t="shared" si="142"/>
        <v/>
      </c>
      <c r="I219" s="46"/>
      <c r="J219" s="46"/>
      <c r="K219" s="148"/>
    </row>
    <row r="220" spans="1:11" x14ac:dyDescent="0.25">
      <c r="A220" s="10">
        <f t="shared" ref="A220" si="167">A219+1</f>
        <v>42218</v>
      </c>
      <c r="B220" s="11" t="str">
        <f t="shared" si="141"/>
        <v>dimanche</v>
      </c>
      <c r="C220" s="10">
        <f t="shared" si="146"/>
        <v>42218</v>
      </c>
      <c r="D220" s="43"/>
      <c r="E220" s="44"/>
      <c r="F220" s="39">
        <f>SUM(E214:E219)</f>
        <v>0</v>
      </c>
      <c r="G220" s="45"/>
      <c r="H220" s="46" t="str">
        <f t="shared" si="142"/>
        <v/>
      </c>
      <c r="I220" s="57">
        <f>SUM(H214:H219)</f>
        <v>0</v>
      </c>
      <c r="J220" s="46" t="str">
        <f>IF((SUM(E214:E219)&gt;paramètres!$E$20),SUM(E214:E219)-paramètres!$E$20,"")</f>
        <v/>
      </c>
      <c r="K220" s="148"/>
    </row>
    <row r="221" spans="1:11" x14ac:dyDescent="0.25">
      <c r="A221" s="10">
        <f t="shared" ref="A221" si="168">A220+1</f>
        <v>42219</v>
      </c>
      <c r="B221" s="11" t="str">
        <f t="shared" si="141"/>
        <v>lundi</v>
      </c>
      <c r="C221" s="10">
        <f t="shared" si="146"/>
        <v>42219</v>
      </c>
      <c r="D221" s="43" t="s">
        <v>11</v>
      </c>
      <c r="E221" s="44"/>
      <c r="F221" s="50"/>
      <c r="G221" s="43" t="s">
        <v>11</v>
      </c>
      <c r="H221" s="46" t="str">
        <f t="shared" si="142"/>
        <v/>
      </c>
      <c r="I221" s="46"/>
      <c r="J221" s="46"/>
      <c r="K221" s="148">
        <f t="shared" si="161"/>
        <v>32</v>
      </c>
    </row>
    <row r="222" spans="1:11" x14ac:dyDescent="0.25">
      <c r="A222" s="10">
        <f t="shared" ref="A222" si="169">A221+1</f>
        <v>42220</v>
      </c>
      <c r="B222" s="11" t="str">
        <f t="shared" si="141"/>
        <v>mardi</v>
      </c>
      <c r="C222" s="10">
        <f t="shared" si="146"/>
        <v>42220</v>
      </c>
      <c r="D222" s="43" t="s">
        <v>11</v>
      </c>
      <c r="E222" s="44"/>
      <c r="F222" s="50"/>
      <c r="G222" s="43" t="s">
        <v>11</v>
      </c>
      <c r="H222" s="46" t="str">
        <f t="shared" si="142"/>
        <v/>
      </c>
      <c r="I222" s="46"/>
      <c r="J222" s="46"/>
      <c r="K222" s="148"/>
    </row>
    <row r="223" spans="1:11" x14ac:dyDescent="0.25">
      <c r="A223" s="10">
        <f t="shared" ref="A223" si="170">A222+1</f>
        <v>42221</v>
      </c>
      <c r="B223" s="11" t="str">
        <f t="shared" si="141"/>
        <v>mercredi</v>
      </c>
      <c r="C223" s="10">
        <f t="shared" si="146"/>
        <v>42221</v>
      </c>
      <c r="D223" s="43" t="s">
        <v>11</v>
      </c>
      <c r="E223" s="44"/>
      <c r="F223" s="50"/>
      <c r="G223" s="43" t="s">
        <v>11</v>
      </c>
      <c r="H223" s="46" t="str">
        <f t="shared" si="142"/>
        <v/>
      </c>
      <c r="I223" s="46"/>
      <c r="J223" s="46"/>
      <c r="K223" s="148"/>
    </row>
    <row r="224" spans="1:11" x14ac:dyDescent="0.25">
      <c r="A224" s="10">
        <f t="shared" ref="A224" si="171">A223+1</f>
        <v>42222</v>
      </c>
      <c r="B224" s="11" t="str">
        <f t="shared" si="141"/>
        <v>jeudi</v>
      </c>
      <c r="C224" s="10">
        <f t="shared" si="146"/>
        <v>42222</v>
      </c>
      <c r="D224" s="43" t="s">
        <v>11</v>
      </c>
      <c r="E224" s="44"/>
      <c r="F224" s="50"/>
      <c r="G224" s="43" t="s">
        <v>11</v>
      </c>
      <c r="H224" s="46" t="str">
        <f t="shared" si="142"/>
        <v/>
      </c>
      <c r="I224" s="46"/>
      <c r="J224" s="46"/>
      <c r="K224" s="148"/>
    </row>
    <row r="225" spans="1:11" x14ac:dyDescent="0.25">
      <c r="A225" s="10">
        <f t="shared" ref="A225" si="172">A224+1</f>
        <v>42223</v>
      </c>
      <c r="B225" s="11" t="str">
        <f t="shared" si="141"/>
        <v>vendredi</v>
      </c>
      <c r="C225" s="10">
        <f t="shared" si="146"/>
        <v>42223</v>
      </c>
      <c r="D225" s="43" t="s">
        <v>11</v>
      </c>
      <c r="E225" s="44"/>
      <c r="F225" s="50"/>
      <c r="G225" s="43" t="s">
        <v>11</v>
      </c>
      <c r="H225" s="46" t="str">
        <f t="shared" si="142"/>
        <v/>
      </c>
      <c r="I225" s="46"/>
      <c r="J225" s="46"/>
      <c r="K225" s="148"/>
    </row>
    <row r="226" spans="1:11" x14ac:dyDescent="0.25">
      <c r="A226" s="10">
        <f t="shared" ref="A226" si="173">A225+1</f>
        <v>42224</v>
      </c>
      <c r="B226" s="11" t="str">
        <f t="shared" si="141"/>
        <v>samedi</v>
      </c>
      <c r="C226" s="10">
        <f t="shared" si="146"/>
        <v>42224</v>
      </c>
      <c r="D226" s="43" t="s">
        <v>11</v>
      </c>
      <c r="E226" s="44"/>
      <c r="F226" s="50"/>
      <c r="G226" s="43" t="s">
        <v>11</v>
      </c>
      <c r="H226" s="46" t="str">
        <f t="shared" si="142"/>
        <v/>
      </c>
      <c r="I226" s="46"/>
      <c r="J226" s="46"/>
      <c r="K226" s="148"/>
    </row>
    <row r="227" spans="1:11" x14ac:dyDescent="0.25">
      <c r="A227" s="10">
        <f t="shared" ref="A227" si="174">A226+1</f>
        <v>42225</v>
      </c>
      <c r="B227" s="11" t="str">
        <f t="shared" si="141"/>
        <v>dimanche</v>
      </c>
      <c r="C227" s="10">
        <f t="shared" si="146"/>
        <v>42225</v>
      </c>
      <c r="D227" s="43"/>
      <c r="E227" s="44"/>
      <c r="F227" s="39">
        <f>SUM(E221:E226)</f>
        <v>0</v>
      </c>
      <c r="G227" s="45"/>
      <c r="H227" s="46" t="str">
        <f t="shared" si="142"/>
        <v/>
      </c>
      <c r="I227" s="57">
        <f>SUM(H221:H226)</f>
        <v>0</v>
      </c>
      <c r="J227" s="46" t="str">
        <f>IF((SUM(E221:E226)&gt;paramètres!$E$20),SUM(E221:E226)-paramètres!$E$20,"")</f>
        <v/>
      </c>
      <c r="K227" s="148"/>
    </row>
    <row r="228" spans="1:11" x14ac:dyDescent="0.25">
      <c r="A228" s="10">
        <f t="shared" ref="A228" si="175">A227+1</f>
        <v>42226</v>
      </c>
      <c r="B228" s="11" t="str">
        <f t="shared" si="141"/>
        <v>lundi</v>
      </c>
      <c r="C228" s="10">
        <f t="shared" si="146"/>
        <v>42226</v>
      </c>
      <c r="D228" s="43" t="s">
        <v>46</v>
      </c>
      <c r="E228" s="44"/>
      <c r="F228" s="50"/>
      <c r="G228" s="45"/>
      <c r="H228" s="46" t="str">
        <f t="shared" si="142"/>
        <v/>
      </c>
      <c r="I228" s="46"/>
      <c r="J228" s="46"/>
      <c r="K228" s="148">
        <f t="shared" si="161"/>
        <v>33</v>
      </c>
    </row>
    <row r="229" spans="1:11" x14ac:dyDescent="0.25">
      <c r="A229" s="10">
        <f t="shared" ref="A229" si="176">A228+1</f>
        <v>42227</v>
      </c>
      <c r="B229" s="11" t="str">
        <f t="shared" si="141"/>
        <v>mardi</v>
      </c>
      <c r="C229" s="10">
        <f t="shared" si="146"/>
        <v>42227</v>
      </c>
      <c r="D229" s="43" t="s">
        <v>46</v>
      </c>
      <c r="E229" s="44"/>
      <c r="F229" s="50"/>
      <c r="G229" s="45"/>
      <c r="H229" s="46" t="str">
        <f t="shared" si="142"/>
        <v/>
      </c>
      <c r="I229" s="46"/>
      <c r="J229" s="46"/>
      <c r="K229" s="148"/>
    </row>
    <row r="230" spans="1:11" x14ac:dyDescent="0.25">
      <c r="A230" s="10">
        <f t="shared" ref="A230" si="177">A229+1</f>
        <v>42228</v>
      </c>
      <c r="B230" s="11" t="str">
        <f t="shared" si="141"/>
        <v>mercredi</v>
      </c>
      <c r="C230" s="10">
        <f t="shared" si="146"/>
        <v>42228</v>
      </c>
      <c r="D230" s="43" t="s">
        <v>46</v>
      </c>
      <c r="E230" s="44"/>
      <c r="F230" s="50"/>
      <c r="G230" s="45"/>
      <c r="H230" s="46" t="str">
        <f t="shared" si="142"/>
        <v/>
      </c>
      <c r="I230" s="46"/>
      <c r="J230" s="46"/>
      <c r="K230" s="148"/>
    </row>
    <row r="231" spans="1:11" x14ac:dyDescent="0.25">
      <c r="A231" s="10">
        <f t="shared" ref="A231" si="178">A230+1</f>
        <v>42229</v>
      </c>
      <c r="B231" s="11" t="str">
        <f t="shared" si="141"/>
        <v>jeudi</v>
      </c>
      <c r="C231" s="10">
        <f t="shared" si="146"/>
        <v>42229</v>
      </c>
      <c r="D231" s="43" t="s">
        <v>46</v>
      </c>
      <c r="E231" s="44"/>
      <c r="F231" s="50"/>
      <c r="G231" s="45"/>
      <c r="H231" s="46" t="str">
        <f t="shared" si="142"/>
        <v/>
      </c>
      <c r="I231" s="46"/>
      <c r="J231" s="46"/>
      <c r="K231" s="148"/>
    </row>
    <row r="232" spans="1:11" x14ac:dyDescent="0.25">
      <c r="A232" s="10">
        <f t="shared" ref="A232" si="179">A231+1</f>
        <v>42230</v>
      </c>
      <c r="B232" s="11" t="str">
        <f t="shared" si="141"/>
        <v>vendredi</v>
      </c>
      <c r="C232" s="10">
        <f t="shared" si="146"/>
        <v>42230</v>
      </c>
      <c r="D232" s="43"/>
      <c r="E232" s="44"/>
      <c r="F232" s="50"/>
      <c r="G232" s="45"/>
      <c r="H232" s="46" t="str">
        <f t="shared" si="142"/>
        <v/>
      </c>
      <c r="I232" s="46"/>
      <c r="J232" s="46"/>
      <c r="K232" s="148"/>
    </row>
    <row r="233" spans="1:11" x14ac:dyDescent="0.25">
      <c r="A233" s="10">
        <f t="shared" ref="A233" si="180">A232+1</f>
        <v>42231</v>
      </c>
      <c r="B233" s="11" t="str">
        <f t="shared" si="141"/>
        <v>samedi</v>
      </c>
      <c r="C233" s="10">
        <f t="shared" si="146"/>
        <v>42231</v>
      </c>
      <c r="D233" s="43"/>
      <c r="E233" s="44"/>
      <c r="F233" s="50"/>
      <c r="G233" s="45"/>
      <c r="H233" s="46" t="str">
        <f t="shared" si="142"/>
        <v/>
      </c>
      <c r="I233" s="46"/>
      <c r="J233" s="46"/>
      <c r="K233" s="148"/>
    </row>
    <row r="234" spans="1:11" x14ac:dyDescent="0.25">
      <c r="A234" s="10">
        <f t="shared" ref="A234" si="181">A233+1</f>
        <v>42232</v>
      </c>
      <c r="B234" s="11" t="str">
        <f t="shared" si="141"/>
        <v>dimanche</v>
      </c>
      <c r="C234" s="10">
        <f t="shared" si="146"/>
        <v>42232</v>
      </c>
      <c r="D234" s="43"/>
      <c r="E234" s="44"/>
      <c r="F234" s="39">
        <f>SUM(E228:E233)</f>
        <v>0</v>
      </c>
      <c r="G234" s="45"/>
      <c r="H234" s="46" t="str">
        <f t="shared" si="142"/>
        <v/>
      </c>
      <c r="I234" s="57">
        <f>SUM(H228:H233)</f>
        <v>0</v>
      </c>
      <c r="J234" s="46" t="str">
        <f>IF((SUM(E228:E233)&gt;paramètres!$E$20),SUM(E228:E233)-paramètres!$E$20,"")</f>
        <v/>
      </c>
      <c r="K234" s="148"/>
    </row>
    <row r="235" spans="1:11" x14ac:dyDescent="0.25">
      <c r="A235" s="10">
        <f t="shared" ref="A235" si="182">A234+1</f>
        <v>42233</v>
      </c>
      <c r="B235" s="11" t="str">
        <f t="shared" si="141"/>
        <v>lundi</v>
      </c>
      <c r="C235" s="10">
        <f t="shared" si="146"/>
        <v>42233</v>
      </c>
      <c r="D235" s="43" t="s">
        <v>11</v>
      </c>
      <c r="E235" s="44"/>
      <c r="F235" s="50"/>
      <c r="G235" s="45" t="s">
        <v>11</v>
      </c>
      <c r="H235" s="46" t="str">
        <f t="shared" si="142"/>
        <v/>
      </c>
      <c r="I235" s="46"/>
      <c r="J235" s="46"/>
      <c r="K235" s="148">
        <f t="shared" si="161"/>
        <v>34</v>
      </c>
    </row>
    <row r="236" spans="1:11" x14ac:dyDescent="0.25">
      <c r="A236" s="10">
        <f t="shared" ref="A236" si="183">A235+1</f>
        <v>42234</v>
      </c>
      <c r="B236" s="11" t="str">
        <f t="shared" si="141"/>
        <v>mardi</v>
      </c>
      <c r="C236" s="10">
        <f t="shared" si="146"/>
        <v>42234</v>
      </c>
      <c r="D236" s="43" t="s">
        <v>11</v>
      </c>
      <c r="E236" s="44"/>
      <c r="F236" s="50"/>
      <c r="G236" s="45" t="s">
        <v>11</v>
      </c>
      <c r="H236" s="46" t="str">
        <f t="shared" si="142"/>
        <v/>
      </c>
      <c r="I236" s="46"/>
      <c r="J236" s="46"/>
      <c r="K236" s="148"/>
    </row>
    <row r="237" spans="1:11" x14ac:dyDescent="0.25">
      <c r="A237" s="10">
        <f t="shared" ref="A237" si="184">A236+1</f>
        <v>42235</v>
      </c>
      <c r="B237" s="11" t="str">
        <f t="shared" si="141"/>
        <v>mercredi</v>
      </c>
      <c r="C237" s="10">
        <f t="shared" si="146"/>
        <v>42235</v>
      </c>
      <c r="D237" s="43" t="s">
        <v>11</v>
      </c>
      <c r="E237" s="44"/>
      <c r="F237" s="50"/>
      <c r="G237" s="45" t="s">
        <v>11</v>
      </c>
      <c r="H237" s="46" t="str">
        <f t="shared" si="142"/>
        <v/>
      </c>
      <c r="I237" s="46"/>
      <c r="J237" s="46"/>
      <c r="K237" s="148"/>
    </row>
    <row r="238" spans="1:11" x14ac:dyDescent="0.25">
      <c r="A238" s="10">
        <f t="shared" ref="A238" si="185">A237+1</f>
        <v>42236</v>
      </c>
      <c r="B238" s="11" t="str">
        <f t="shared" si="141"/>
        <v>jeudi</v>
      </c>
      <c r="C238" s="10">
        <f t="shared" si="146"/>
        <v>42236</v>
      </c>
      <c r="D238" s="43" t="s">
        <v>11</v>
      </c>
      <c r="E238" s="44"/>
      <c r="F238" s="50"/>
      <c r="G238" s="45" t="s">
        <v>11</v>
      </c>
      <c r="H238" s="46" t="str">
        <f t="shared" si="142"/>
        <v/>
      </c>
      <c r="I238" s="46"/>
      <c r="J238" s="46"/>
      <c r="K238" s="148"/>
    </row>
    <row r="239" spans="1:11" x14ac:dyDescent="0.25">
      <c r="A239" s="10">
        <f t="shared" ref="A239" si="186">A238+1</f>
        <v>42237</v>
      </c>
      <c r="B239" s="11" t="str">
        <f t="shared" si="141"/>
        <v>vendredi</v>
      </c>
      <c r="C239" s="10">
        <f t="shared" si="146"/>
        <v>42237</v>
      </c>
      <c r="D239" s="43" t="s">
        <v>11</v>
      </c>
      <c r="E239" s="44"/>
      <c r="F239" s="50"/>
      <c r="G239" s="45" t="s">
        <v>11</v>
      </c>
      <c r="H239" s="46" t="str">
        <f t="shared" si="142"/>
        <v/>
      </c>
      <c r="I239" s="46"/>
      <c r="J239" s="46"/>
      <c r="K239" s="148"/>
    </row>
    <row r="240" spans="1:11" x14ac:dyDescent="0.25">
      <c r="A240" s="10">
        <f t="shared" ref="A240" si="187">A239+1</f>
        <v>42238</v>
      </c>
      <c r="B240" s="11" t="str">
        <f t="shared" si="141"/>
        <v>samedi</v>
      </c>
      <c r="C240" s="10">
        <f t="shared" si="146"/>
        <v>42238</v>
      </c>
      <c r="D240" s="43" t="s">
        <v>11</v>
      </c>
      <c r="E240" s="44"/>
      <c r="F240" s="50"/>
      <c r="G240" s="45" t="s">
        <v>11</v>
      </c>
      <c r="H240" s="46" t="str">
        <f t="shared" si="142"/>
        <v/>
      </c>
      <c r="I240" s="46"/>
      <c r="J240" s="46"/>
      <c r="K240" s="148"/>
    </row>
    <row r="241" spans="1:11" x14ac:dyDescent="0.25">
      <c r="A241" s="10">
        <f t="shared" ref="A241" si="188">A240+1</f>
        <v>42239</v>
      </c>
      <c r="B241" s="11" t="str">
        <f t="shared" si="141"/>
        <v>dimanche</v>
      </c>
      <c r="C241" s="10">
        <f t="shared" si="146"/>
        <v>42239</v>
      </c>
      <c r="D241" s="43"/>
      <c r="E241" s="44"/>
      <c r="F241" s="39">
        <f>SUM(E235:E240)</f>
        <v>0</v>
      </c>
      <c r="G241" s="45"/>
      <c r="H241" s="46" t="str">
        <f t="shared" si="142"/>
        <v/>
      </c>
      <c r="I241" s="57">
        <f>SUM(H235:H240)</f>
        <v>0</v>
      </c>
      <c r="J241" s="46" t="str">
        <f>IF((SUM(E235:E240)&gt;paramètres!$E$20),SUM(E235:E240)-paramètres!$E$20,"")</f>
        <v/>
      </c>
      <c r="K241" s="148"/>
    </row>
    <row r="242" spans="1:11" x14ac:dyDescent="0.25">
      <c r="A242" s="10">
        <f t="shared" ref="A242" si="189">A241+1</f>
        <v>42240</v>
      </c>
      <c r="B242" s="11" t="str">
        <f t="shared" si="141"/>
        <v>lundi</v>
      </c>
      <c r="C242" s="10">
        <f t="shared" si="146"/>
        <v>42240</v>
      </c>
      <c r="D242" s="43">
        <v>0.32291666666666663</v>
      </c>
      <c r="E242" s="44"/>
      <c r="F242" s="50"/>
      <c r="G242" s="45"/>
      <c r="H242" s="46" t="str">
        <f t="shared" si="142"/>
        <v/>
      </c>
      <c r="I242" s="46"/>
      <c r="J242" s="46"/>
      <c r="K242" s="148">
        <f t="shared" si="161"/>
        <v>35</v>
      </c>
    </row>
    <row r="243" spans="1:11" x14ac:dyDescent="0.25">
      <c r="A243" s="10">
        <f t="shared" ref="A243" si="190">A242+1</f>
        <v>42241</v>
      </c>
      <c r="B243" s="11" t="str">
        <f t="shared" si="141"/>
        <v>mardi</v>
      </c>
      <c r="C243" s="10">
        <f t="shared" si="146"/>
        <v>42241</v>
      </c>
      <c r="D243" s="43">
        <v>0.31250000000000006</v>
      </c>
      <c r="E243" s="44"/>
      <c r="F243" s="50"/>
      <c r="G243" s="45"/>
      <c r="H243" s="46" t="str">
        <f t="shared" si="142"/>
        <v/>
      </c>
      <c r="I243" s="46"/>
      <c r="J243" s="46"/>
      <c r="K243" s="148"/>
    </row>
    <row r="244" spans="1:11" x14ac:dyDescent="0.25">
      <c r="A244" s="10">
        <f t="shared" ref="A244" si="191">A243+1</f>
        <v>42242</v>
      </c>
      <c r="B244" s="11" t="str">
        <f t="shared" si="141"/>
        <v>mercredi</v>
      </c>
      <c r="C244" s="10">
        <f t="shared" si="146"/>
        <v>42242</v>
      </c>
      <c r="D244" s="43">
        <v>0.31250000000000006</v>
      </c>
      <c r="E244" s="44"/>
      <c r="F244" s="50"/>
      <c r="G244" s="45"/>
      <c r="H244" s="46" t="str">
        <f t="shared" si="142"/>
        <v/>
      </c>
      <c r="I244" s="46"/>
      <c r="J244" s="46"/>
      <c r="K244" s="148"/>
    </row>
    <row r="245" spans="1:11" x14ac:dyDescent="0.25">
      <c r="A245" s="10">
        <f t="shared" ref="A245" si="192">A244+1</f>
        <v>42243</v>
      </c>
      <c r="B245" s="11" t="str">
        <f t="shared" si="141"/>
        <v>jeudi</v>
      </c>
      <c r="C245" s="10">
        <f t="shared" si="146"/>
        <v>42243</v>
      </c>
      <c r="D245" s="43">
        <v>0.31250000000000006</v>
      </c>
      <c r="E245" s="44"/>
      <c r="F245" s="50"/>
      <c r="G245" s="45"/>
      <c r="H245" s="46" t="str">
        <f t="shared" si="142"/>
        <v/>
      </c>
      <c r="I245" s="46"/>
      <c r="J245" s="46"/>
      <c r="K245" s="148"/>
    </row>
    <row r="246" spans="1:11" x14ac:dyDescent="0.25">
      <c r="A246" s="10">
        <f t="shared" ref="A246" si="193">A245+1</f>
        <v>42244</v>
      </c>
      <c r="B246" s="11" t="str">
        <f t="shared" si="141"/>
        <v>vendredi</v>
      </c>
      <c r="C246" s="10">
        <f t="shared" si="146"/>
        <v>42244</v>
      </c>
      <c r="D246" s="43">
        <v>0.32291666666666669</v>
      </c>
      <c r="E246" s="44"/>
      <c r="F246" s="50"/>
      <c r="G246" s="45"/>
      <c r="H246" s="46" t="str">
        <f t="shared" si="142"/>
        <v/>
      </c>
      <c r="I246" s="46"/>
      <c r="J246" s="46"/>
      <c r="K246" s="148"/>
    </row>
    <row r="247" spans="1:11" x14ac:dyDescent="0.25">
      <c r="A247" s="10">
        <f t="shared" ref="A247" si="194">A246+1</f>
        <v>42245</v>
      </c>
      <c r="B247" s="11" t="str">
        <f t="shared" si="141"/>
        <v>samedi</v>
      </c>
      <c r="C247" s="10">
        <f t="shared" si="146"/>
        <v>42245</v>
      </c>
      <c r="D247" s="43"/>
      <c r="E247" s="44"/>
      <c r="F247" s="50"/>
      <c r="G247" s="45"/>
      <c r="H247" s="46" t="str">
        <f t="shared" si="142"/>
        <v/>
      </c>
      <c r="I247" s="46"/>
      <c r="J247" s="46"/>
      <c r="K247" s="148"/>
    </row>
    <row r="248" spans="1:11" x14ac:dyDescent="0.25">
      <c r="A248" s="10">
        <f t="shared" ref="A248" si="195">A247+1</f>
        <v>42246</v>
      </c>
      <c r="B248" s="11" t="str">
        <f t="shared" si="141"/>
        <v>dimanche</v>
      </c>
      <c r="C248" s="10">
        <f t="shared" si="146"/>
        <v>42246</v>
      </c>
      <c r="D248" s="43"/>
      <c r="E248" s="44"/>
      <c r="F248" s="39">
        <f>SUM(E242:E247)</f>
        <v>0</v>
      </c>
      <c r="G248" s="45"/>
      <c r="H248" s="46" t="str">
        <f t="shared" si="142"/>
        <v/>
      </c>
      <c r="I248" s="57">
        <f>SUM(H242:H247)</f>
        <v>0</v>
      </c>
      <c r="J248" s="46" t="str">
        <f>IF((SUM(E242:E247)&gt;paramètres!$E$20),SUM(E242:E247)-paramètres!$E$20,"")</f>
        <v/>
      </c>
      <c r="K248" s="148"/>
    </row>
    <row r="249" spans="1:11" x14ac:dyDescent="0.25">
      <c r="A249" s="10">
        <f t="shared" ref="A249" si="196">A248+1</f>
        <v>42247</v>
      </c>
      <c r="B249" s="11" t="str">
        <f t="shared" si="141"/>
        <v>lundi</v>
      </c>
      <c r="C249" s="10">
        <f t="shared" si="146"/>
        <v>42247</v>
      </c>
      <c r="D249" s="43">
        <v>0.32291666666666663</v>
      </c>
      <c r="E249" s="44"/>
      <c r="F249" s="50"/>
      <c r="G249" s="45"/>
      <c r="H249" s="46" t="str">
        <f t="shared" si="142"/>
        <v/>
      </c>
      <c r="I249" s="46"/>
      <c r="J249" s="46"/>
      <c r="K249" s="148">
        <f t="shared" si="161"/>
        <v>36</v>
      </c>
    </row>
    <row r="250" spans="1:11" x14ac:dyDescent="0.25">
      <c r="A250" s="10">
        <f t="shared" ref="A250" si="197">A249+1</f>
        <v>42248</v>
      </c>
      <c r="B250" s="11" t="str">
        <f t="shared" si="141"/>
        <v>mardi</v>
      </c>
      <c r="C250" s="10">
        <f t="shared" si="146"/>
        <v>42248</v>
      </c>
      <c r="D250" s="43">
        <v>0.31250000000000006</v>
      </c>
      <c r="E250" s="44"/>
      <c r="F250" s="50"/>
      <c r="G250" s="45"/>
      <c r="H250" s="46" t="str">
        <f t="shared" si="142"/>
        <v/>
      </c>
      <c r="I250" s="46"/>
      <c r="J250" s="46"/>
      <c r="K250" s="148"/>
    </row>
    <row r="251" spans="1:11" x14ac:dyDescent="0.25">
      <c r="A251" s="10">
        <f t="shared" ref="A251" si="198">A250+1</f>
        <v>42249</v>
      </c>
      <c r="B251" s="11" t="str">
        <f t="shared" si="141"/>
        <v>mercredi</v>
      </c>
      <c r="C251" s="10">
        <f t="shared" si="146"/>
        <v>42249</v>
      </c>
      <c r="D251" s="43">
        <v>0.31250000000000006</v>
      </c>
      <c r="E251" s="44"/>
      <c r="F251" s="50"/>
      <c r="G251" s="45"/>
      <c r="H251" s="46" t="str">
        <f t="shared" si="142"/>
        <v/>
      </c>
      <c r="I251" s="46"/>
      <c r="J251" s="46"/>
      <c r="K251" s="148"/>
    </row>
    <row r="252" spans="1:11" x14ac:dyDescent="0.25">
      <c r="A252" s="10">
        <f t="shared" ref="A252" si="199">A251+1</f>
        <v>42250</v>
      </c>
      <c r="B252" s="11" t="str">
        <f t="shared" si="141"/>
        <v>jeudi</v>
      </c>
      <c r="C252" s="10">
        <f t="shared" si="146"/>
        <v>42250</v>
      </c>
      <c r="D252" s="43">
        <v>0.31250000000000006</v>
      </c>
      <c r="E252" s="44"/>
      <c r="F252" s="50"/>
      <c r="G252" s="45"/>
      <c r="H252" s="46" t="str">
        <f t="shared" si="142"/>
        <v/>
      </c>
      <c r="I252" s="46"/>
      <c r="J252" s="46"/>
      <c r="K252" s="148"/>
    </row>
    <row r="253" spans="1:11" x14ac:dyDescent="0.25">
      <c r="A253" s="10">
        <f t="shared" ref="A253" si="200">A252+1</f>
        <v>42251</v>
      </c>
      <c r="B253" s="11" t="str">
        <f t="shared" si="141"/>
        <v>vendredi</v>
      </c>
      <c r="C253" s="10">
        <f t="shared" si="146"/>
        <v>42251</v>
      </c>
      <c r="D253" s="43">
        <v>0.32291666666666669</v>
      </c>
      <c r="E253" s="44"/>
      <c r="F253" s="50"/>
      <c r="G253" s="45"/>
      <c r="H253" s="46" t="str">
        <f t="shared" si="142"/>
        <v/>
      </c>
      <c r="I253" s="46"/>
      <c r="J253" s="46"/>
      <c r="K253" s="148"/>
    </row>
    <row r="254" spans="1:11" x14ac:dyDescent="0.25">
      <c r="A254" s="10">
        <f t="shared" ref="A254" si="201">A253+1</f>
        <v>42252</v>
      </c>
      <c r="B254" s="11" t="str">
        <f t="shared" si="141"/>
        <v>samedi</v>
      </c>
      <c r="C254" s="10">
        <f t="shared" si="146"/>
        <v>42252</v>
      </c>
      <c r="D254" s="43"/>
      <c r="E254" s="44"/>
      <c r="F254" s="50"/>
      <c r="G254" s="45"/>
      <c r="H254" s="46" t="str">
        <f t="shared" si="142"/>
        <v/>
      </c>
      <c r="I254" s="46"/>
      <c r="J254" s="46"/>
      <c r="K254" s="148"/>
    </row>
    <row r="255" spans="1:11" x14ac:dyDescent="0.25">
      <c r="A255" s="10">
        <f t="shared" ref="A255" si="202">A254+1</f>
        <v>42253</v>
      </c>
      <c r="B255" s="11" t="str">
        <f t="shared" si="141"/>
        <v>dimanche</v>
      </c>
      <c r="C255" s="10">
        <f t="shared" si="146"/>
        <v>42253</v>
      </c>
      <c r="D255" s="43"/>
      <c r="E255" s="44"/>
      <c r="F255" s="39">
        <f>SUM(E249:E254)</f>
        <v>0</v>
      </c>
      <c r="G255" s="45"/>
      <c r="H255" s="46" t="str">
        <f t="shared" si="142"/>
        <v/>
      </c>
      <c r="I255" s="57">
        <f>SUM(H249:H254)</f>
        <v>0</v>
      </c>
      <c r="J255" s="46" t="str">
        <f>IF((SUM(E249:E254)&gt;paramètres!$E$20),SUM(E249:E254)-paramètres!$E$20,"")</f>
        <v/>
      </c>
      <c r="K255" s="148"/>
    </row>
    <row r="256" spans="1:11" x14ac:dyDescent="0.25">
      <c r="A256" s="10">
        <f t="shared" ref="A256" si="203">A255+1</f>
        <v>42254</v>
      </c>
      <c r="B256" s="11" t="str">
        <f t="shared" si="141"/>
        <v>lundi</v>
      </c>
      <c r="C256" s="10">
        <f t="shared" si="146"/>
        <v>42254</v>
      </c>
      <c r="D256" s="43">
        <v>0.32291666666666663</v>
      </c>
      <c r="E256" s="44"/>
      <c r="F256" s="50"/>
      <c r="G256" s="45"/>
      <c r="H256" s="46" t="str">
        <f t="shared" si="142"/>
        <v/>
      </c>
      <c r="I256" s="46"/>
      <c r="J256" s="46"/>
      <c r="K256" s="148">
        <f t="shared" si="161"/>
        <v>37</v>
      </c>
    </row>
    <row r="257" spans="1:11" x14ac:dyDescent="0.25">
      <c r="A257" s="10">
        <f t="shared" ref="A257" si="204">A256+1</f>
        <v>42255</v>
      </c>
      <c r="B257" s="11" t="str">
        <f t="shared" si="141"/>
        <v>mardi</v>
      </c>
      <c r="C257" s="10">
        <f t="shared" si="146"/>
        <v>42255</v>
      </c>
      <c r="D257" s="43">
        <v>0.31250000000000006</v>
      </c>
      <c r="E257" s="44"/>
      <c r="F257" s="50"/>
      <c r="G257" s="45"/>
      <c r="H257" s="46" t="str">
        <f t="shared" si="142"/>
        <v/>
      </c>
      <c r="I257" s="46"/>
      <c r="J257" s="46"/>
      <c r="K257" s="148"/>
    </row>
    <row r="258" spans="1:11" x14ac:dyDescent="0.25">
      <c r="A258" s="10">
        <f t="shared" ref="A258" si="205">A257+1</f>
        <v>42256</v>
      </c>
      <c r="B258" s="11" t="str">
        <f t="shared" si="141"/>
        <v>mercredi</v>
      </c>
      <c r="C258" s="10">
        <f t="shared" si="146"/>
        <v>42256</v>
      </c>
      <c r="D258" s="43">
        <v>0.31250000000000006</v>
      </c>
      <c r="E258" s="44"/>
      <c r="F258" s="50"/>
      <c r="G258" s="45"/>
      <c r="H258" s="46" t="str">
        <f t="shared" si="142"/>
        <v/>
      </c>
      <c r="I258" s="46"/>
      <c r="J258" s="46"/>
      <c r="K258" s="148"/>
    </row>
    <row r="259" spans="1:11" x14ac:dyDescent="0.25">
      <c r="A259" s="10">
        <f t="shared" ref="A259" si="206">A258+1</f>
        <v>42257</v>
      </c>
      <c r="B259" s="11" t="str">
        <f t="shared" si="141"/>
        <v>jeudi</v>
      </c>
      <c r="C259" s="10">
        <f t="shared" si="146"/>
        <v>42257</v>
      </c>
      <c r="D259" s="43">
        <v>0.31250000000000006</v>
      </c>
      <c r="E259" s="44"/>
      <c r="F259" s="50"/>
      <c r="G259" s="45"/>
      <c r="H259" s="46" t="str">
        <f t="shared" si="142"/>
        <v/>
      </c>
      <c r="I259" s="46"/>
      <c r="J259" s="46"/>
      <c r="K259" s="148"/>
    </row>
    <row r="260" spans="1:11" x14ac:dyDescent="0.25">
      <c r="A260" s="10">
        <f t="shared" ref="A260" si="207">A259+1</f>
        <v>42258</v>
      </c>
      <c r="B260" s="11" t="str">
        <f t="shared" si="141"/>
        <v>vendredi</v>
      </c>
      <c r="C260" s="10">
        <f t="shared" si="146"/>
        <v>42258</v>
      </c>
      <c r="D260" s="43">
        <v>0.32291666666666669</v>
      </c>
      <c r="E260" s="44"/>
      <c r="F260" s="50"/>
      <c r="G260" s="45"/>
      <c r="H260" s="46" t="str">
        <f t="shared" si="142"/>
        <v/>
      </c>
      <c r="I260" s="46"/>
      <c r="J260" s="46"/>
      <c r="K260" s="148"/>
    </row>
    <row r="261" spans="1:11" x14ac:dyDescent="0.25">
      <c r="A261" s="10">
        <f t="shared" ref="A261" si="208">A260+1</f>
        <v>42259</v>
      </c>
      <c r="B261" s="11" t="str">
        <f t="shared" ref="B261:B324" si="209">LOWER(TEXT(C261,"jjjj"))</f>
        <v>samedi</v>
      </c>
      <c r="C261" s="10">
        <f t="shared" si="146"/>
        <v>42259</v>
      </c>
      <c r="D261" s="43"/>
      <c r="E261" s="44"/>
      <c r="F261" s="50"/>
      <c r="G261" s="45"/>
      <c r="H261" s="46" t="str">
        <f t="shared" ref="H261:H324" si="210">IF(OR(G261="AT",G261="AM",G261="CMat",G261="For"),D261,"")</f>
        <v/>
      </c>
      <c r="I261" s="46"/>
      <c r="J261" s="46"/>
      <c r="K261" s="148"/>
    </row>
    <row r="262" spans="1:11" x14ac:dyDescent="0.25">
      <c r="A262" s="10">
        <f t="shared" ref="A262" si="211">A261+1</f>
        <v>42260</v>
      </c>
      <c r="B262" s="11" t="str">
        <f t="shared" si="209"/>
        <v>dimanche</v>
      </c>
      <c r="C262" s="10">
        <f t="shared" si="146"/>
        <v>42260</v>
      </c>
      <c r="D262" s="43"/>
      <c r="E262" s="44"/>
      <c r="F262" s="39">
        <f>SUM(E256:E261)</f>
        <v>0</v>
      </c>
      <c r="G262" s="45"/>
      <c r="H262" s="46" t="str">
        <f t="shared" si="210"/>
        <v/>
      </c>
      <c r="I262" s="57">
        <f>SUM(H256:H261)</f>
        <v>0</v>
      </c>
      <c r="J262" s="46" t="str">
        <f>IF((SUM(E256:E261)&gt;paramètres!$E$20),SUM(E256:E261)-paramètres!$E$20,"")</f>
        <v/>
      </c>
      <c r="K262" s="148"/>
    </row>
    <row r="263" spans="1:11" x14ac:dyDescent="0.25">
      <c r="A263" s="10">
        <f t="shared" ref="A263" si="212">A262+1</f>
        <v>42261</v>
      </c>
      <c r="B263" s="11" t="str">
        <f t="shared" si="209"/>
        <v>lundi</v>
      </c>
      <c r="C263" s="10">
        <f t="shared" si="146"/>
        <v>42261</v>
      </c>
      <c r="D263" s="43">
        <v>0.32291666666666663</v>
      </c>
      <c r="E263" s="44"/>
      <c r="F263" s="50"/>
      <c r="G263" s="45"/>
      <c r="H263" s="46" t="str">
        <f t="shared" si="210"/>
        <v/>
      </c>
      <c r="I263" s="46"/>
      <c r="J263" s="46"/>
      <c r="K263" s="148">
        <f t="shared" si="161"/>
        <v>38</v>
      </c>
    </row>
    <row r="264" spans="1:11" x14ac:dyDescent="0.25">
      <c r="A264" s="10">
        <f t="shared" ref="A264" si="213">A263+1</f>
        <v>42262</v>
      </c>
      <c r="B264" s="11" t="str">
        <f t="shared" si="209"/>
        <v>mardi</v>
      </c>
      <c r="C264" s="10">
        <f t="shared" ref="C264:C327" si="214">C263+1</f>
        <v>42262</v>
      </c>
      <c r="D264" s="43">
        <v>0.31250000000000006</v>
      </c>
      <c r="E264" s="44"/>
      <c r="F264" s="50"/>
      <c r="G264" s="45"/>
      <c r="H264" s="46" t="str">
        <f t="shared" si="210"/>
        <v/>
      </c>
      <c r="I264" s="46"/>
      <c r="J264" s="46"/>
      <c r="K264" s="148"/>
    </row>
    <row r="265" spans="1:11" x14ac:dyDescent="0.25">
      <c r="A265" s="10">
        <f t="shared" ref="A265" si="215">A264+1</f>
        <v>42263</v>
      </c>
      <c r="B265" s="11" t="str">
        <f t="shared" si="209"/>
        <v>mercredi</v>
      </c>
      <c r="C265" s="10">
        <f t="shared" si="214"/>
        <v>42263</v>
      </c>
      <c r="D265" s="43">
        <v>0.31250000000000006</v>
      </c>
      <c r="E265" s="44"/>
      <c r="F265" s="50"/>
      <c r="G265" s="45"/>
      <c r="H265" s="46" t="str">
        <f t="shared" si="210"/>
        <v/>
      </c>
      <c r="I265" s="46"/>
      <c r="J265" s="46"/>
      <c r="K265" s="148"/>
    </row>
    <row r="266" spans="1:11" x14ac:dyDescent="0.25">
      <c r="A266" s="10">
        <f t="shared" ref="A266" si="216">A265+1</f>
        <v>42264</v>
      </c>
      <c r="B266" s="11" t="str">
        <f t="shared" si="209"/>
        <v>jeudi</v>
      </c>
      <c r="C266" s="10">
        <f t="shared" si="214"/>
        <v>42264</v>
      </c>
      <c r="D266" s="43">
        <v>0.31250000000000006</v>
      </c>
      <c r="E266" s="44"/>
      <c r="F266" s="50"/>
      <c r="G266" s="45"/>
      <c r="H266" s="46" t="str">
        <f t="shared" si="210"/>
        <v/>
      </c>
      <c r="I266" s="46"/>
      <c r="J266" s="46"/>
      <c r="K266" s="148"/>
    </row>
    <row r="267" spans="1:11" x14ac:dyDescent="0.25">
      <c r="A267" s="10">
        <f t="shared" ref="A267" si="217">A266+1</f>
        <v>42265</v>
      </c>
      <c r="B267" s="11" t="str">
        <f t="shared" si="209"/>
        <v>vendredi</v>
      </c>
      <c r="C267" s="10">
        <f t="shared" si="214"/>
        <v>42265</v>
      </c>
      <c r="D267" s="43">
        <v>0.32291666666666669</v>
      </c>
      <c r="E267" s="44"/>
      <c r="F267" s="50"/>
      <c r="G267" s="45"/>
      <c r="H267" s="46" t="str">
        <f t="shared" si="210"/>
        <v/>
      </c>
      <c r="I267" s="46"/>
      <c r="J267" s="46"/>
      <c r="K267" s="148"/>
    </row>
    <row r="268" spans="1:11" x14ac:dyDescent="0.25">
      <c r="A268" s="10">
        <f t="shared" ref="A268" si="218">A267+1</f>
        <v>42266</v>
      </c>
      <c r="B268" s="11" t="str">
        <f t="shared" si="209"/>
        <v>samedi</v>
      </c>
      <c r="C268" s="10">
        <f t="shared" si="214"/>
        <v>42266</v>
      </c>
      <c r="D268" s="43"/>
      <c r="E268" s="44"/>
      <c r="F268" s="50"/>
      <c r="G268" s="45"/>
      <c r="H268" s="46" t="str">
        <f t="shared" si="210"/>
        <v/>
      </c>
      <c r="I268" s="46"/>
      <c r="J268" s="46"/>
      <c r="K268" s="148"/>
    </row>
    <row r="269" spans="1:11" x14ac:dyDescent="0.25">
      <c r="A269" s="10">
        <f t="shared" ref="A269" si="219">A268+1</f>
        <v>42267</v>
      </c>
      <c r="B269" s="11" t="str">
        <f t="shared" si="209"/>
        <v>dimanche</v>
      </c>
      <c r="C269" s="10">
        <f t="shared" si="214"/>
        <v>42267</v>
      </c>
      <c r="D269" s="43"/>
      <c r="E269" s="44"/>
      <c r="F269" s="39">
        <f>SUM(E263:E268)</f>
        <v>0</v>
      </c>
      <c r="G269" s="45"/>
      <c r="H269" s="46" t="str">
        <f t="shared" si="210"/>
        <v/>
      </c>
      <c r="I269" s="57">
        <f>SUM(H263:H268)</f>
        <v>0</v>
      </c>
      <c r="J269" s="46" t="str">
        <f>IF((SUM(E263:E268)&gt;paramètres!$E$20),SUM(E263:E268)-paramètres!$E$20,"")</f>
        <v/>
      </c>
      <c r="K269" s="148"/>
    </row>
    <row r="270" spans="1:11" x14ac:dyDescent="0.25">
      <c r="A270" s="10">
        <f t="shared" ref="A270" si="220">A269+1</f>
        <v>42268</v>
      </c>
      <c r="B270" s="11" t="str">
        <f t="shared" si="209"/>
        <v>lundi</v>
      </c>
      <c r="C270" s="10">
        <f t="shared" si="214"/>
        <v>42268</v>
      </c>
      <c r="D270" s="43">
        <v>0.32291666666666663</v>
      </c>
      <c r="E270" s="44"/>
      <c r="F270" s="50"/>
      <c r="G270" s="45"/>
      <c r="H270" s="46" t="str">
        <f t="shared" si="210"/>
        <v/>
      </c>
      <c r="I270" s="46"/>
      <c r="J270" s="46"/>
      <c r="K270" s="148">
        <f>IF(WEEKDAY(A270,2)=1,WEEKNUM(A270),"")</f>
        <v>39</v>
      </c>
    </row>
    <row r="271" spans="1:11" x14ac:dyDescent="0.25">
      <c r="A271" s="10">
        <f t="shared" ref="A271" si="221">A270+1</f>
        <v>42269</v>
      </c>
      <c r="B271" s="11" t="str">
        <f t="shared" si="209"/>
        <v>mardi</v>
      </c>
      <c r="C271" s="10">
        <f t="shared" si="214"/>
        <v>42269</v>
      </c>
      <c r="D271" s="43">
        <v>0.31250000000000006</v>
      </c>
      <c r="E271" s="44"/>
      <c r="F271" s="50"/>
      <c r="G271" s="45"/>
      <c r="H271" s="46" t="str">
        <f t="shared" si="210"/>
        <v/>
      </c>
      <c r="I271" s="46"/>
      <c r="J271" s="46"/>
      <c r="K271" s="148"/>
    </row>
    <row r="272" spans="1:11" x14ac:dyDescent="0.25">
      <c r="A272" s="10">
        <f t="shared" ref="A272" si="222">A271+1</f>
        <v>42270</v>
      </c>
      <c r="B272" s="11" t="str">
        <f t="shared" si="209"/>
        <v>mercredi</v>
      </c>
      <c r="C272" s="10">
        <f t="shared" si="214"/>
        <v>42270</v>
      </c>
      <c r="D272" s="43">
        <v>0.31250000000000006</v>
      </c>
      <c r="E272" s="44"/>
      <c r="F272" s="50"/>
      <c r="G272" s="45"/>
      <c r="H272" s="46" t="str">
        <f t="shared" si="210"/>
        <v/>
      </c>
      <c r="I272" s="46"/>
      <c r="J272" s="46"/>
      <c r="K272" s="148"/>
    </row>
    <row r="273" spans="1:11" x14ac:dyDescent="0.25">
      <c r="A273" s="10">
        <f t="shared" ref="A273" si="223">A272+1</f>
        <v>42271</v>
      </c>
      <c r="B273" s="11" t="str">
        <f t="shared" si="209"/>
        <v>jeudi</v>
      </c>
      <c r="C273" s="10">
        <f t="shared" si="214"/>
        <v>42271</v>
      </c>
      <c r="D273" s="43">
        <v>0.31250000000000006</v>
      </c>
      <c r="E273" s="44"/>
      <c r="F273" s="50"/>
      <c r="G273" s="45"/>
      <c r="H273" s="46" t="str">
        <f t="shared" si="210"/>
        <v/>
      </c>
      <c r="I273" s="46"/>
      <c r="J273" s="46"/>
      <c r="K273" s="148"/>
    </row>
    <row r="274" spans="1:11" x14ac:dyDescent="0.25">
      <c r="A274" s="10">
        <f t="shared" ref="A274" si="224">A273+1</f>
        <v>42272</v>
      </c>
      <c r="B274" s="11" t="str">
        <f t="shared" si="209"/>
        <v>vendredi</v>
      </c>
      <c r="C274" s="10">
        <f t="shared" si="214"/>
        <v>42272</v>
      </c>
      <c r="D274" s="43">
        <v>0.32291666666666669</v>
      </c>
      <c r="E274" s="44"/>
      <c r="F274" s="50"/>
      <c r="G274" s="45"/>
      <c r="H274" s="46" t="str">
        <f t="shared" si="210"/>
        <v/>
      </c>
      <c r="I274" s="46"/>
      <c r="J274" s="46"/>
      <c r="K274" s="148"/>
    </row>
    <row r="275" spans="1:11" x14ac:dyDescent="0.25">
      <c r="A275" s="10">
        <f t="shared" ref="A275" si="225">A274+1</f>
        <v>42273</v>
      </c>
      <c r="B275" s="11" t="str">
        <f t="shared" si="209"/>
        <v>samedi</v>
      </c>
      <c r="C275" s="10">
        <f t="shared" si="214"/>
        <v>42273</v>
      </c>
      <c r="D275" s="43"/>
      <c r="E275" s="44"/>
      <c r="F275" s="50"/>
      <c r="G275" s="45"/>
      <c r="H275" s="46" t="str">
        <f t="shared" si="210"/>
        <v/>
      </c>
      <c r="I275" s="46"/>
      <c r="J275" s="46"/>
      <c r="K275" s="148"/>
    </row>
    <row r="276" spans="1:11" x14ac:dyDescent="0.25">
      <c r="A276" s="10">
        <f t="shared" ref="A276" si="226">A275+1</f>
        <v>42274</v>
      </c>
      <c r="B276" s="11" t="str">
        <f t="shared" si="209"/>
        <v>dimanche</v>
      </c>
      <c r="C276" s="10">
        <f t="shared" si="214"/>
        <v>42274</v>
      </c>
      <c r="D276" s="43"/>
      <c r="E276" s="44"/>
      <c r="F276" s="39">
        <f>SUM(E270:E275)</f>
        <v>0</v>
      </c>
      <c r="G276" s="45"/>
      <c r="H276" s="46" t="str">
        <f t="shared" si="210"/>
        <v/>
      </c>
      <c r="I276" s="57">
        <f>SUM(H270:H275)</f>
        <v>0</v>
      </c>
      <c r="J276" s="46" t="str">
        <f>IF((SUM(E270:E275)&gt;paramètres!$E$20),SUM(E270:E275)-paramètres!$E$20,"")</f>
        <v/>
      </c>
      <c r="K276" s="148"/>
    </row>
    <row r="277" spans="1:11" x14ac:dyDescent="0.25">
      <c r="A277" s="10">
        <f t="shared" ref="A277" si="227">A276+1</f>
        <v>42275</v>
      </c>
      <c r="B277" s="11" t="str">
        <f t="shared" si="209"/>
        <v>lundi</v>
      </c>
      <c r="C277" s="10">
        <f t="shared" si="214"/>
        <v>42275</v>
      </c>
      <c r="D277" s="43">
        <v>0.32291666666666663</v>
      </c>
      <c r="E277" s="44"/>
      <c r="F277" s="50"/>
      <c r="G277" s="45"/>
      <c r="H277" s="46" t="str">
        <f t="shared" si="210"/>
        <v/>
      </c>
      <c r="I277" s="46"/>
      <c r="J277" s="46"/>
      <c r="K277" s="148">
        <f t="shared" si="161"/>
        <v>40</v>
      </c>
    </row>
    <row r="278" spans="1:11" x14ac:dyDescent="0.25">
      <c r="A278" s="10">
        <f t="shared" ref="A278" si="228">A277+1</f>
        <v>42276</v>
      </c>
      <c r="B278" s="11" t="str">
        <f t="shared" si="209"/>
        <v>mardi</v>
      </c>
      <c r="C278" s="10">
        <f t="shared" si="214"/>
        <v>42276</v>
      </c>
      <c r="D278" s="43">
        <v>0.31250000000000006</v>
      </c>
      <c r="E278" s="44"/>
      <c r="F278" s="50"/>
      <c r="G278" s="45"/>
      <c r="H278" s="46" t="str">
        <f t="shared" si="210"/>
        <v/>
      </c>
      <c r="I278" s="46"/>
      <c r="J278" s="46"/>
      <c r="K278" s="148"/>
    </row>
    <row r="279" spans="1:11" x14ac:dyDescent="0.25">
      <c r="A279" s="10">
        <f t="shared" ref="A279" si="229">A278+1</f>
        <v>42277</v>
      </c>
      <c r="B279" s="11" t="str">
        <f t="shared" si="209"/>
        <v>mercredi</v>
      </c>
      <c r="C279" s="10">
        <f t="shared" si="214"/>
        <v>42277</v>
      </c>
      <c r="D279" s="43" t="s">
        <v>59</v>
      </c>
      <c r="E279" s="44"/>
      <c r="F279" s="50"/>
      <c r="G279" s="45" t="s">
        <v>59</v>
      </c>
      <c r="H279" s="46" t="str">
        <f t="shared" si="210"/>
        <v/>
      </c>
      <c r="I279" s="46"/>
      <c r="J279" s="46"/>
      <c r="K279" s="148"/>
    </row>
    <row r="280" spans="1:11" x14ac:dyDescent="0.25">
      <c r="A280" s="10">
        <f t="shared" ref="A280" si="230">A279+1</f>
        <v>42278</v>
      </c>
      <c r="B280" s="11" t="str">
        <f t="shared" si="209"/>
        <v>jeudi</v>
      </c>
      <c r="C280" s="10">
        <f t="shared" si="214"/>
        <v>42278</v>
      </c>
      <c r="D280" s="43" t="s">
        <v>59</v>
      </c>
      <c r="E280" s="44"/>
      <c r="F280" s="50"/>
      <c r="G280" s="45" t="s">
        <v>59</v>
      </c>
      <c r="H280" s="46" t="str">
        <f t="shared" si="210"/>
        <v/>
      </c>
      <c r="I280" s="46"/>
      <c r="J280" s="46"/>
      <c r="K280" s="148"/>
    </row>
    <row r="281" spans="1:11" x14ac:dyDescent="0.25">
      <c r="A281" s="10">
        <f t="shared" ref="A281" si="231">A280+1</f>
        <v>42279</v>
      </c>
      <c r="B281" s="11" t="str">
        <f t="shared" si="209"/>
        <v>vendredi</v>
      </c>
      <c r="C281" s="10">
        <f t="shared" si="214"/>
        <v>42279</v>
      </c>
      <c r="D281" s="43" t="s">
        <v>59</v>
      </c>
      <c r="E281" s="44"/>
      <c r="F281" s="50"/>
      <c r="G281" s="45" t="s">
        <v>59</v>
      </c>
      <c r="H281" s="46" t="str">
        <f t="shared" si="210"/>
        <v/>
      </c>
      <c r="I281" s="46"/>
      <c r="J281" s="46"/>
      <c r="K281" s="148"/>
    </row>
    <row r="282" spans="1:11" x14ac:dyDescent="0.25">
      <c r="A282" s="10">
        <f t="shared" ref="A282" si="232">A281+1</f>
        <v>42280</v>
      </c>
      <c r="B282" s="11" t="str">
        <f t="shared" si="209"/>
        <v>samedi</v>
      </c>
      <c r="C282" s="10">
        <f t="shared" si="214"/>
        <v>42280</v>
      </c>
      <c r="D282" s="43"/>
      <c r="E282" s="44"/>
      <c r="F282" s="50"/>
      <c r="G282" s="45"/>
      <c r="H282" s="46" t="str">
        <f t="shared" si="210"/>
        <v/>
      </c>
      <c r="I282" s="46"/>
      <c r="J282" s="46"/>
      <c r="K282" s="148"/>
    </row>
    <row r="283" spans="1:11" x14ac:dyDescent="0.25">
      <c r="A283" s="10">
        <f t="shared" ref="A283" si="233">A282+1</f>
        <v>42281</v>
      </c>
      <c r="B283" s="11" t="str">
        <f t="shared" si="209"/>
        <v>dimanche</v>
      </c>
      <c r="C283" s="10">
        <f t="shared" si="214"/>
        <v>42281</v>
      </c>
      <c r="D283" s="43"/>
      <c r="E283" s="44"/>
      <c r="F283" s="39">
        <f>SUM(E277:E282)</f>
        <v>0</v>
      </c>
      <c r="G283" s="45"/>
      <c r="H283" s="46" t="str">
        <f t="shared" si="210"/>
        <v/>
      </c>
      <c r="I283" s="57">
        <f>SUM(H277:H282)</f>
        <v>0</v>
      </c>
      <c r="J283" s="46" t="str">
        <f>IF((SUM(E277:E282)&gt;paramètres!$E$20),SUM(E277:E282)-paramètres!$E$20,"")</f>
        <v/>
      </c>
      <c r="K283" s="148"/>
    </row>
    <row r="284" spans="1:11" x14ac:dyDescent="0.25">
      <c r="A284" s="10">
        <f t="shared" ref="A284" si="234">A283+1</f>
        <v>42282</v>
      </c>
      <c r="B284" s="11" t="str">
        <f t="shared" si="209"/>
        <v>lundi</v>
      </c>
      <c r="C284" s="10">
        <f t="shared" si="214"/>
        <v>42282</v>
      </c>
      <c r="D284" s="43">
        <v>0.32291666666666663</v>
      </c>
      <c r="E284" s="44"/>
      <c r="F284" s="50"/>
      <c r="G284" s="45"/>
      <c r="H284" s="46" t="str">
        <f t="shared" si="210"/>
        <v/>
      </c>
      <c r="I284" s="46"/>
      <c r="J284" s="46"/>
      <c r="K284" s="148">
        <f t="shared" ref="K284:K347" si="235">IF(WEEKDAY(A284,2)=1,WEEKNUM(A284),"")</f>
        <v>41</v>
      </c>
    </row>
    <row r="285" spans="1:11" x14ac:dyDescent="0.25">
      <c r="A285" s="10">
        <f t="shared" ref="A285" si="236">A284+1</f>
        <v>42283</v>
      </c>
      <c r="B285" s="11" t="str">
        <f t="shared" si="209"/>
        <v>mardi</v>
      </c>
      <c r="C285" s="10">
        <f t="shared" si="214"/>
        <v>42283</v>
      </c>
      <c r="D285" s="43">
        <v>0.31250000000000006</v>
      </c>
      <c r="E285" s="44"/>
      <c r="F285" s="50"/>
      <c r="G285" s="45"/>
      <c r="H285" s="46" t="str">
        <f t="shared" si="210"/>
        <v/>
      </c>
      <c r="I285" s="46"/>
      <c r="J285" s="46"/>
      <c r="K285" s="148"/>
    </row>
    <row r="286" spans="1:11" x14ac:dyDescent="0.25">
      <c r="A286" s="10">
        <f t="shared" ref="A286" si="237">A285+1</f>
        <v>42284</v>
      </c>
      <c r="B286" s="11" t="str">
        <f t="shared" si="209"/>
        <v>mercredi</v>
      </c>
      <c r="C286" s="10">
        <f t="shared" si="214"/>
        <v>42284</v>
      </c>
      <c r="D286" s="43">
        <v>0.31250000000000006</v>
      </c>
      <c r="E286" s="44"/>
      <c r="F286" s="50"/>
      <c r="G286" s="45"/>
      <c r="H286" s="46" t="str">
        <f t="shared" si="210"/>
        <v/>
      </c>
      <c r="I286" s="46"/>
      <c r="J286" s="46"/>
      <c r="K286" s="148"/>
    </row>
    <row r="287" spans="1:11" x14ac:dyDescent="0.25">
      <c r="A287" s="10">
        <f t="shared" ref="A287" si="238">A286+1</f>
        <v>42285</v>
      </c>
      <c r="B287" s="11" t="str">
        <f t="shared" si="209"/>
        <v>jeudi</v>
      </c>
      <c r="C287" s="10">
        <f t="shared" si="214"/>
        <v>42285</v>
      </c>
      <c r="D287" s="43">
        <v>0.31250000000000006</v>
      </c>
      <c r="E287" s="44"/>
      <c r="F287" s="50"/>
      <c r="G287" s="45"/>
      <c r="H287" s="46" t="str">
        <f t="shared" si="210"/>
        <v/>
      </c>
      <c r="I287" s="46"/>
      <c r="J287" s="46"/>
      <c r="K287" s="148"/>
    </row>
    <row r="288" spans="1:11" x14ac:dyDescent="0.25">
      <c r="A288" s="10">
        <f t="shared" ref="A288" si="239">A287+1</f>
        <v>42286</v>
      </c>
      <c r="B288" s="11" t="str">
        <f t="shared" si="209"/>
        <v>vendredi</v>
      </c>
      <c r="C288" s="10">
        <f t="shared" si="214"/>
        <v>42286</v>
      </c>
      <c r="D288" s="43">
        <v>0.32291666666666669</v>
      </c>
      <c r="E288" s="44"/>
      <c r="F288" s="50"/>
      <c r="G288" s="45"/>
      <c r="H288" s="46" t="str">
        <f t="shared" si="210"/>
        <v/>
      </c>
      <c r="I288" s="46"/>
      <c r="J288" s="46"/>
      <c r="K288" s="148"/>
    </row>
    <row r="289" spans="1:11" x14ac:dyDescent="0.25">
      <c r="A289" s="10">
        <f t="shared" ref="A289" si="240">A288+1</f>
        <v>42287</v>
      </c>
      <c r="B289" s="11" t="str">
        <f t="shared" si="209"/>
        <v>samedi</v>
      </c>
      <c r="C289" s="10">
        <f t="shared" si="214"/>
        <v>42287</v>
      </c>
      <c r="D289" s="43"/>
      <c r="E289" s="44"/>
      <c r="F289" s="50"/>
      <c r="G289" s="45"/>
      <c r="H289" s="46" t="str">
        <f t="shared" si="210"/>
        <v/>
      </c>
      <c r="I289" s="46"/>
      <c r="J289" s="46"/>
      <c r="K289" s="148"/>
    </row>
    <row r="290" spans="1:11" x14ac:dyDescent="0.25">
      <c r="A290" s="10">
        <f t="shared" ref="A290" si="241">A289+1</f>
        <v>42288</v>
      </c>
      <c r="B290" s="11" t="str">
        <f t="shared" si="209"/>
        <v>dimanche</v>
      </c>
      <c r="C290" s="10">
        <f t="shared" si="214"/>
        <v>42288</v>
      </c>
      <c r="D290" s="43"/>
      <c r="E290" s="44"/>
      <c r="F290" s="39">
        <f>SUM(E284:E289)</f>
        <v>0</v>
      </c>
      <c r="G290" s="45"/>
      <c r="H290" s="46" t="str">
        <f t="shared" si="210"/>
        <v/>
      </c>
      <c r="I290" s="57">
        <f>SUM(H284:H289)</f>
        <v>0</v>
      </c>
      <c r="J290" s="46" t="str">
        <f>IF((SUM(E284:E289)&gt;paramètres!$E$20),SUM(E284:E289)-paramètres!$E$20,"")</f>
        <v/>
      </c>
      <c r="K290" s="148"/>
    </row>
    <row r="291" spans="1:11" x14ac:dyDescent="0.25">
      <c r="A291" s="10">
        <f t="shared" ref="A291" si="242">A290+1</f>
        <v>42289</v>
      </c>
      <c r="B291" s="11" t="str">
        <f t="shared" si="209"/>
        <v>lundi</v>
      </c>
      <c r="C291" s="10">
        <f t="shared" si="214"/>
        <v>42289</v>
      </c>
      <c r="D291" s="43">
        <v>0.32291666666666663</v>
      </c>
      <c r="E291" s="44"/>
      <c r="F291" s="50"/>
      <c r="G291" s="45"/>
      <c r="H291" s="46" t="str">
        <f t="shared" si="210"/>
        <v/>
      </c>
      <c r="I291" s="46"/>
      <c r="J291" s="46"/>
      <c r="K291" s="148">
        <f t="shared" si="235"/>
        <v>42</v>
      </c>
    </row>
    <row r="292" spans="1:11" x14ac:dyDescent="0.25">
      <c r="A292" s="10">
        <f t="shared" ref="A292" si="243">A291+1</f>
        <v>42290</v>
      </c>
      <c r="B292" s="11" t="str">
        <f t="shared" si="209"/>
        <v>mardi</v>
      </c>
      <c r="C292" s="10">
        <f t="shared" si="214"/>
        <v>42290</v>
      </c>
      <c r="D292" s="43">
        <v>0.31250000000000006</v>
      </c>
      <c r="E292" s="44"/>
      <c r="F292" s="50"/>
      <c r="G292" s="45"/>
      <c r="H292" s="46" t="str">
        <f t="shared" si="210"/>
        <v/>
      </c>
      <c r="I292" s="46"/>
      <c r="J292" s="46"/>
      <c r="K292" s="148"/>
    </row>
    <row r="293" spans="1:11" x14ac:dyDescent="0.25">
      <c r="A293" s="10">
        <f t="shared" ref="A293" si="244">A292+1</f>
        <v>42291</v>
      </c>
      <c r="B293" s="11" t="str">
        <f t="shared" si="209"/>
        <v>mercredi</v>
      </c>
      <c r="C293" s="10">
        <f t="shared" si="214"/>
        <v>42291</v>
      </c>
      <c r="D293" s="43">
        <v>0.31250000000000006</v>
      </c>
      <c r="E293" s="44"/>
      <c r="F293" s="50"/>
      <c r="G293" s="45"/>
      <c r="H293" s="46" t="str">
        <f t="shared" si="210"/>
        <v/>
      </c>
      <c r="I293" s="46"/>
      <c r="J293" s="46"/>
      <c r="K293" s="148"/>
    </row>
    <row r="294" spans="1:11" x14ac:dyDescent="0.25">
      <c r="A294" s="10">
        <f t="shared" ref="A294" si="245">A293+1</f>
        <v>42292</v>
      </c>
      <c r="B294" s="11" t="str">
        <f t="shared" si="209"/>
        <v>jeudi</v>
      </c>
      <c r="C294" s="10">
        <f t="shared" si="214"/>
        <v>42292</v>
      </c>
      <c r="D294" s="43">
        <v>0.31250000000000006</v>
      </c>
      <c r="E294" s="44"/>
      <c r="F294" s="50"/>
      <c r="G294" s="45"/>
      <c r="H294" s="46" t="str">
        <f t="shared" si="210"/>
        <v/>
      </c>
      <c r="I294" s="46"/>
      <c r="J294" s="46"/>
      <c r="K294" s="148"/>
    </row>
    <row r="295" spans="1:11" x14ac:dyDescent="0.25">
      <c r="A295" s="10">
        <f t="shared" ref="A295" si="246">A294+1</f>
        <v>42293</v>
      </c>
      <c r="B295" s="11" t="str">
        <f t="shared" si="209"/>
        <v>vendredi</v>
      </c>
      <c r="C295" s="10">
        <f t="shared" si="214"/>
        <v>42293</v>
      </c>
      <c r="D295" s="43">
        <v>0.32291666666666669</v>
      </c>
      <c r="E295" s="44"/>
      <c r="F295" s="50"/>
      <c r="G295" s="45"/>
      <c r="H295" s="46" t="str">
        <f t="shared" si="210"/>
        <v/>
      </c>
      <c r="I295" s="46"/>
      <c r="J295" s="46"/>
      <c r="K295" s="148"/>
    </row>
    <row r="296" spans="1:11" x14ac:dyDescent="0.25">
      <c r="A296" s="10">
        <f t="shared" ref="A296" si="247">A295+1</f>
        <v>42294</v>
      </c>
      <c r="B296" s="11" t="str">
        <f t="shared" si="209"/>
        <v>samedi</v>
      </c>
      <c r="C296" s="10">
        <f t="shared" si="214"/>
        <v>42294</v>
      </c>
      <c r="D296" s="43"/>
      <c r="E296" s="44"/>
      <c r="F296" s="50"/>
      <c r="G296" s="45"/>
      <c r="H296" s="46" t="str">
        <f t="shared" si="210"/>
        <v/>
      </c>
      <c r="I296" s="46"/>
      <c r="J296" s="46"/>
      <c r="K296" s="148"/>
    </row>
    <row r="297" spans="1:11" x14ac:dyDescent="0.25">
      <c r="A297" s="10">
        <f t="shared" ref="A297" si="248">A296+1</f>
        <v>42295</v>
      </c>
      <c r="B297" s="11" t="str">
        <f t="shared" si="209"/>
        <v>dimanche</v>
      </c>
      <c r="C297" s="10">
        <f t="shared" si="214"/>
        <v>42295</v>
      </c>
      <c r="D297" s="43"/>
      <c r="E297" s="44"/>
      <c r="F297" s="39">
        <f>SUM(E291:E296)</f>
        <v>0</v>
      </c>
      <c r="G297" s="45"/>
      <c r="H297" s="46" t="str">
        <f t="shared" si="210"/>
        <v/>
      </c>
      <c r="I297" s="57">
        <f>SUM(H291:H296)</f>
        <v>0</v>
      </c>
      <c r="J297" s="46" t="str">
        <f>IF((SUM(E291:E296)&gt;paramètres!$E$20),SUM(E291:E296)-paramètres!$E$20,"")</f>
        <v/>
      </c>
      <c r="K297" s="148"/>
    </row>
    <row r="298" spans="1:11" x14ac:dyDescent="0.25">
      <c r="A298" s="10">
        <f t="shared" ref="A298" si="249">A297+1</f>
        <v>42296</v>
      </c>
      <c r="B298" s="11" t="str">
        <f t="shared" si="209"/>
        <v>lundi</v>
      </c>
      <c r="C298" s="10">
        <f t="shared" si="214"/>
        <v>42296</v>
      </c>
      <c r="D298" s="43">
        <v>0.32291666666666663</v>
      </c>
      <c r="E298" s="44"/>
      <c r="F298" s="50"/>
      <c r="G298" s="45"/>
      <c r="H298" s="46" t="str">
        <f t="shared" si="210"/>
        <v/>
      </c>
      <c r="I298" s="46"/>
      <c r="J298" s="46"/>
      <c r="K298" s="148">
        <f t="shared" si="235"/>
        <v>43</v>
      </c>
    </row>
    <row r="299" spans="1:11" x14ac:dyDescent="0.25">
      <c r="A299" s="10">
        <f t="shared" ref="A299" si="250">A298+1</f>
        <v>42297</v>
      </c>
      <c r="B299" s="11" t="str">
        <f t="shared" si="209"/>
        <v>mardi</v>
      </c>
      <c r="C299" s="10">
        <f t="shared" si="214"/>
        <v>42297</v>
      </c>
      <c r="D299" s="43">
        <v>0.31250000000000006</v>
      </c>
      <c r="E299" s="44"/>
      <c r="F299" s="50"/>
      <c r="G299" s="45"/>
      <c r="H299" s="46" t="str">
        <f t="shared" si="210"/>
        <v/>
      </c>
      <c r="I299" s="46"/>
      <c r="J299" s="46"/>
      <c r="K299" s="148"/>
    </row>
    <row r="300" spans="1:11" x14ac:dyDescent="0.25">
      <c r="A300" s="10">
        <f t="shared" ref="A300" si="251">A299+1</f>
        <v>42298</v>
      </c>
      <c r="B300" s="11" t="str">
        <f t="shared" si="209"/>
        <v>mercredi</v>
      </c>
      <c r="C300" s="10">
        <f t="shared" si="214"/>
        <v>42298</v>
      </c>
      <c r="D300" s="43">
        <v>0.31250000000000006</v>
      </c>
      <c r="E300" s="44"/>
      <c r="F300" s="50"/>
      <c r="G300" s="45"/>
      <c r="H300" s="46" t="str">
        <f t="shared" si="210"/>
        <v/>
      </c>
      <c r="I300" s="46"/>
      <c r="J300" s="46"/>
      <c r="K300" s="148"/>
    </row>
    <row r="301" spans="1:11" x14ac:dyDescent="0.25">
      <c r="A301" s="10">
        <f t="shared" ref="A301" si="252">A300+1</f>
        <v>42299</v>
      </c>
      <c r="B301" s="11" t="str">
        <f t="shared" si="209"/>
        <v>jeudi</v>
      </c>
      <c r="C301" s="10">
        <f t="shared" si="214"/>
        <v>42299</v>
      </c>
      <c r="D301" s="43">
        <v>0.31250000000000006</v>
      </c>
      <c r="E301" s="44"/>
      <c r="F301" s="50"/>
      <c r="G301" s="45"/>
      <c r="H301" s="46" t="str">
        <f t="shared" si="210"/>
        <v/>
      </c>
      <c r="I301" s="46"/>
      <c r="J301" s="46"/>
      <c r="K301" s="148"/>
    </row>
    <row r="302" spans="1:11" x14ac:dyDescent="0.25">
      <c r="A302" s="10">
        <f t="shared" ref="A302" si="253">A301+1</f>
        <v>42300</v>
      </c>
      <c r="B302" s="11" t="str">
        <f t="shared" si="209"/>
        <v>vendredi</v>
      </c>
      <c r="C302" s="10">
        <f t="shared" si="214"/>
        <v>42300</v>
      </c>
      <c r="D302" s="43">
        <v>0.32291666666666669</v>
      </c>
      <c r="E302" s="44"/>
      <c r="F302" s="50"/>
      <c r="G302" s="45"/>
      <c r="H302" s="46" t="str">
        <f t="shared" si="210"/>
        <v/>
      </c>
      <c r="I302" s="46"/>
      <c r="J302" s="46"/>
      <c r="K302" s="148"/>
    </row>
    <row r="303" spans="1:11" x14ac:dyDescent="0.25">
      <c r="A303" s="10">
        <f t="shared" ref="A303" si="254">A302+1</f>
        <v>42301</v>
      </c>
      <c r="B303" s="11" t="str">
        <f t="shared" si="209"/>
        <v>samedi</v>
      </c>
      <c r="C303" s="10">
        <f t="shared" si="214"/>
        <v>42301</v>
      </c>
      <c r="D303" s="43"/>
      <c r="E303" s="44"/>
      <c r="F303" s="50"/>
      <c r="G303" s="45"/>
      <c r="H303" s="46" t="str">
        <f t="shared" si="210"/>
        <v/>
      </c>
      <c r="I303" s="46"/>
      <c r="J303" s="46"/>
      <c r="K303" s="148"/>
    </row>
    <row r="304" spans="1:11" x14ac:dyDescent="0.25">
      <c r="A304" s="10">
        <f t="shared" ref="A304" si="255">A303+1</f>
        <v>42302</v>
      </c>
      <c r="B304" s="11" t="str">
        <f t="shared" si="209"/>
        <v>dimanche</v>
      </c>
      <c r="C304" s="10">
        <f t="shared" si="214"/>
        <v>42302</v>
      </c>
      <c r="D304" s="43"/>
      <c r="E304" s="44"/>
      <c r="F304" s="39">
        <f>SUM(E298:E303)</f>
        <v>0</v>
      </c>
      <c r="G304" s="45"/>
      <c r="H304" s="46" t="str">
        <f t="shared" si="210"/>
        <v/>
      </c>
      <c r="I304" s="57">
        <f>SUM(H298:H303)</f>
        <v>0</v>
      </c>
      <c r="J304" s="46" t="str">
        <f>IF((SUM(E298:E303)&gt;paramètres!$E$20),SUM(E298:E303)-paramètres!$E$20,"")</f>
        <v/>
      </c>
      <c r="K304" s="148"/>
    </row>
    <row r="305" spans="1:12" x14ac:dyDescent="0.25">
      <c r="A305" s="10">
        <f t="shared" ref="A305" si="256">A304+1</f>
        <v>42303</v>
      </c>
      <c r="B305" s="11" t="str">
        <f t="shared" si="209"/>
        <v>lundi</v>
      </c>
      <c r="C305" s="10">
        <f t="shared" si="214"/>
        <v>42303</v>
      </c>
      <c r="D305" s="43">
        <v>0.32291666666666663</v>
      </c>
      <c r="E305" s="44"/>
      <c r="F305" s="50"/>
      <c r="G305" s="45"/>
      <c r="H305" s="46" t="str">
        <f t="shared" si="210"/>
        <v/>
      </c>
      <c r="I305" s="46"/>
      <c r="J305" s="46"/>
      <c r="K305" s="148">
        <f t="shared" si="235"/>
        <v>44</v>
      </c>
    </row>
    <row r="306" spans="1:12" x14ac:dyDescent="0.25">
      <c r="A306" s="10">
        <f t="shared" ref="A306" si="257">A305+1</f>
        <v>42304</v>
      </c>
      <c r="B306" s="11" t="str">
        <f t="shared" si="209"/>
        <v>mardi</v>
      </c>
      <c r="C306" s="10">
        <f t="shared" si="214"/>
        <v>42304</v>
      </c>
      <c r="D306" s="43">
        <v>0.31250000000000006</v>
      </c>
      <c r="E306" s="44"/>
      <c r="F306" s="50"/>
      <c r="G306" s="45"/>
      <c r="H306" s="46" t="str">
        <f t="shared" si="210"/>
        <v/>
      </c>
      <c r="I306" s="46"/>
      <c r="J306" s="46"/>
      <c r="K306" s="148"/>
    </row>
    <row r="307" spans="1:12" x14ac:dyDescent="0.25">
      <c r="A307" s="10">
        <f t="shared" ref="A307" si="258">A306+1</f>
        <v>42305</v>
      </c>
      <c r="B307" s="11" t="str">
        <f t="shared" si="209"/>
        <v>mercredi</v>
      </c>
      <c r="C307" s="10">
        <f t="shared" si="214"/>
        <v>42305</v>
      </c>
      <c r="D307" s="43">
        <v>0.31250000000000006</v>
      </c>
      <c r="E307" s="44"/>
      <c r="F307" s="50"/>
      <c r="G307" s="45"/>
      <c r="H307" s="46" t="str">
        <f t="shared" si="210"/>
        <v/>
      </c>
      <c r="I307" s="46"/>
      <c r="J307" s="46"/>
      <c r="K307" s="148"/>
    </row>
    <row r="308" spans="1:12" x14ac:dyDescent="0.25">
      <c r="A308" s="10">
        <f t="shared" ref="A308" si="259">A307+1</f>
        <v>42306</v>
      </c>
      <c r="B308" s="11" t="str">
        <f t="shared" si="209"/>
        <v>jeudi</v>
      </c>
      <c r="C308" s="10">
        <f t="shared" si="214"/>
        <v>42306</v>
      </c>
      <c r="D308" s="43">
        <v>0.31250000000000006</v>
      </c>
      <c r="E308" s="44"/>
      <c r="F308" s="50"/>
      <c r="G308" s="45"/>
      <c r="H308" s="46" t="str">
        <f t="shared" si="210"/>
        <v/>
      </c>
      <c r="I308" s="46"/>
      <c r="J308" s="46"/>
      <c r="K308" s="148"/>
    </row>
    <row r="309" spans="1:12" x14ac:dyDescent="0.25">
      <c r="A309" s="10">
        <f t="shared" ref="A309" si="260">A308+1</f>
        <v>42307</v>
      </c>
      <c r="B309" s="11" t="str">
        <f t="shared" si="209"/>
        <v>vendredi</v>
      </c>
      <c r="C309" s="10">
        <f t="shared" si="214"/>
        <v>42307</v>
      </c>
      <c r="D309" s="43">
        <v>0.32291666666666669</v>
      </c>
      <c r="E309" s="44"/>
      <c r="F309" s="50"/>
      <c r="G309" s="45"/>
      <c r="H309" s="46" t="str">
        <f t="shared" si="210"/>
        <v/>
      </c>
      <c r="I309" s="46"/>
      <c r="J309" s="46"/>
      <c r="K309" s="148"/>
    </row>
    <row r="310" spans="1:12" x14ac:dyDescent="0.25">
      <c r="A310" s="10">
        <f t="shared" ref="A310" si="261">A309+1</f>
        <v>42308</v>
      </c>
      <c r="B310" s="11" t="str">
        <f t="shared" si="209"/>
        <v>samedi</v>
      </c>
      <c r="C310" s="10">
        <f t="shared" si="214"/>
        <v>42308</v>
      </c>
      <c r="D310" s="43"/>
      <c r="E310" s="44"/>
      <c r="F310" s="50"/>
      <c r="G310" s="45"/>
      <c r="H310" s="46" t="str">
        <f t="shared" si="210"/>
        <v/>
      </c>
      <c r="I310" s="46"/>
      <c r="J310" s="46"/>
      <c r="K310" s="148"/>
    </row>
    <row r="311" spans="1:12" x14ac:dyDescent="0.25">
      <c r="A311" s="10">
        <f t="shared" ref="A311" si="262">A310+1</f>
        <v>42309</v>
      </c>
      <c r="B311" s="11" t="str">
        <f t="shared" si="209"/>
        <v>dimanche</v>
      </c>
      <c r="C311" s="10">
        <f t="shared" si="214"/>
        <v>42309</v>
      </c>
      <c r="D311" s="43"/>
      <c r="E311" s="74"/>
      <c r="F311" s="39">
        <f>SUM(E305:E310)</f>
        <v>0</v>
      </c>
      <c r="G311" s="45"/>
      <c r="H311" s="46" t="str">
        <f t="shared" si="210"/>
        <v/>
      </c>
      <c r="I311" s="57">
        <f>SUM(H305:H310)</f>
        <v>0</v>
      </c>
      <c r="J311" s="46" t="str">
        <f>IF((SUM(E305:E310)&gt;paramètres!$E$20),SUM(E305:E310)-paramètres!$E$20,"")</f>
        <v/>
      </c>
      <c r="K311" s="148"/>
      <c r="L311" s="16"/>
    </row>
    <row r="312" spans="1:12" x14ac:dyDescent="0.25">
      <c r="A312" s="10">
        <f t="shared" ref="A312" si="263">A311+1</f>
        <v>42310</v>
      </c>
      <c r="B312" s="11" t="str">
        <f t="shared" si="209"/>
        <v>lundi</v>
      </c>
      <c r="C312" s="10">
        <f t="shared" si="214"/>
        <v>42310</v>
      </c>
      <c r="D312" s="43" t="s">
        <v>11</v>
      </c>
      <c r="E312" s="44"/>
      <c r="F312" s="50"/>
      <c r="G312" s="45" t="s">
        <v>11</v>
      </c>
      <c r="H312" s="46" t="str">
        <f t="shared" si="210"/>
        <v/>
      </c>
      <c r="I312" s="46"/>
      <c r="J312" s="46"/>
      <c r="K312" s="148">
        <f t="shared" si="235"/>
        <v>45</v>
      </c>
    </row>
    <row r="313" spans="1:12" x14ac:dyDescent="0.25">
      <c r="A313" s="10">
        <f t="shared" ref="A313" si="264">A312+1</f>
        <v>42311</v>
      </c>
      <c r="B313" s="11" t="str">
        <f t="shared" si="209"/>
        <v>mardi</v>
      </c>
      <c r="C313" s="10">
        <f t="shared" si="214"/>
        <v>42311</v>
      </c>
      <c r="D313" s="43" t="s">
        <v>11</v>
      </c>
      <c r="E313" s="44"/>
      <c r="F313" s="50"/>
      <c r="G313" s="45" t="s">
        <v>11</v>
      </c>
      <c r="H313" s="46" t="str">
        <f t="shared" si="210"/>
        <v/>
      </c>
      <c r="I313" s="46"/>
      <c r="J313" s="46"/>
      <c r="K313" s="148"/>
    </row>
    <row r="314" spans="1:12" x14ac:dyDescent="0.25">
      <c r="A314" s="10">
        <f t="shared" ref="A314" si="265">A313+1</f>
        <v>42312</v>
      </c>
      <c r="B314" s="11" t="str">
        <f t="shared" si="209"/>
        <v>mercredi</v>
      </c>
      <c r="C314" s="10">
        <f t="shared" si="214"/>
        <v>42312</v>
      </c>
      <c r="D314" s="43" t="s">
        <v>11</v>
      </c>
      <c r="E314" s="44"/>
      <c r="F314" s="50"/>
      <c r="G314" s="45" t="s">
        <v>11</v>
      </c>
      <c r="H314" s="46" t="str">
        <f t="shared" si="210"/>
        <v/>
      </c>
      <c r="I314" s="46"/>
      <c r="J314" s="46"/>
      <c r="K314" s="148"/>
    </row>
    <row r="315" spans="1:12" x14ac:dyDescent="0.25">
      <c r="A315" s="10">
        <f t="shared" ref="A315" si="266">A314+1</f>
        <v>42313</v>
      </c>
      <c r="B315" s="11" t="str">
        <f t="shared" si="209"/>
        <v>jeudi</v>
      </c>
      <c r="C315" s="10">
        <f t="shared" si="214"/>
        <v>42313</v>
      </c>
      <c r="D315" s="43" t="s">
        <v>11</v>
      </c>
      <c r="E315" s="44"/>
      <c r="F315" s="50"/>
      <c r="G315" s="45" t="s">
        <v>11</v>
      </c>
      <c r="H315" s="46" t="str">
        <f t="shared" si="210"/>
        <v/>
      </c>
      <c r="I315" s="46"/>
      <c r="J315" s="46"/>
      <c r="K315" s="148"/>
    </row>
    <row r="316" spans="1:12" x14ac:dyDescent="0.25">
      <c r="A316" s="10">
        <f t="shared" ref="A316" si="267">A315+1</f>
        <v>42314</v>
      </c>
      <c r="B316" s="11" t="str">
        <f t="shared" si="209"/>
        <v>vendredi</v>
      </c>
      <c r="C316" s="10">
        <f t="shared" si="214"/>
        <v>42314</v>
      </c>
      <c r="D316" s="43" t="s">
        <v>11</v>
      </c>
      <c r="E316" s="44"/>
      <c r="F316" s="50"/>
      <c r="G316" s="45" t="s">
        <v>11</v>
      </c>
      <c r="H316" s="46" t="str">
        <f t="shared" si="210"/>
        <v/>
      </c>
      <c r="I316" s="46"/>
      <c r="J316" s="46"/>
      <c r="K316" s="148"/>
    </row>
    <row r="317" spans="1:12" x14ac:dyDescent="0.25">
      <c r="A317" s="10">
        <f t="shared" ref="A317" si="268">A316+1</f>
        <v>42315</v>
      </c>
      <c r="B317" s="11" t="str">
        <f t="shared" si="209"/>
        <v>samedi</v>
      </c>
      <c r="C317" s="10">
        <f t="shared" si="214"/>
        <v>42315</v>
      </c>
      <c r="D317" s="43" t="s">
        <v>11</v>
      </c>
      <c r="E317" s="44"/>
      <c r="F317" s="50"/>
      <c r="G317" s="45" t="s">
        <v>11</v>
      </c>
      <c r="H317" s="46" t="str">
        <f t="shared" si="210"/>
        <v/>
      </c>
      <c r="I317" s="46"/>
      <c r="J317" s="46"/>
      <c r="K317" s="148"/>
    </row>
    <row r="318" spans="1:12" x14ac:dyDescent="0.25">
      <c r="A318" s="10">
        <f t="shared" ref="A318" si="269">A317+1</f>
        <v>42316</v>
      </c>
      <c r="B318" s="11" t="str">
        <f t="shared" si="209"/>
        <v>dimanche</v>
      </c>
      <c r="C318" s="10">
        <f t="shared" si="214"/>
        <v>42316</v>
      </c>
      <c r="D318" s="43"/>
      <c r="E318" s="44"/>
      <c r="F318" s="39">
        <f>SUM(E312:E317)</f>
        <v>0</v>
      </c>
      <c r="G318" s="45"/>
      <c r="H318" s="46" t="str">
        <f t="shared" si="210"/>
        <v/>
      </c>
      <c r="I318" s="57">
        <f>SUM(H312:H317)</f>
        <v>0</v>
      </c>
      <c r="J318" s="46" t="str">
        <f>IF((SUM(E312:E317)&gt;paramètres!$E$20),SUM(E312:E317)-paramètres!$E$20,"")</f>
        <v/>
      </c>
      <c r="K318" s="148"/>
    </row>
    <row r="319" spans="1:12" x14ac:dyDescent="0.25">
      <c r="A319" s="10">
        <f t="shared" ref="A319" si="270">A318+1</f>
        <v>42317</v>
      </c>
      <c r="B319" s="11" t="str">
        <f t="shared" si="209"/>
        <v>lundi</v>
      </c>
      <c r="C319" s="10">
        <f t="shared" si="214"/>
        <v>42317</v>
      </c>
      <c r="D319" s="43">
        <v>0.32291666666666663</v>
      </c>
      <c r="E319" s="44"/>
      <c r="F319" s="50"/>
      <c r="G319" s="45"/>
      <c r="H319" s="46" t="str">
        <f t="shared" si="210"/>
        <v/>
      </c>
      <c r="I319" s="46"/>
      <c r="J319" s="46"/>
      <c r="K319" s="148">
        <f t="shared" si="235"/>
        <v>46</v>
      </c>
    </row>
    <row r="320" spans="1:12" x14ac:dyDescent="0.25">
      <c r="A320" s="10">
        <f t="shared" ref="A320" si="271">A319+1</f>
        <v>42318</v>
      </c>
      <c r="B320" s="11" t="str">
        <f t="shared" si="209"/>
        <v>mardi</v>
      </c>
      <c r="C320" s="10">
        <f t="shared" si="214"/>
        <v>42318</v>
      </c>
      <c r="D320" s="43"/>
      <c r="E320" s="44"/>
      <c r="F320" s="50"/>
      <c r="G320" s="45"/>
      <c r="H320" s="46" t="str">
        <f t="shared" si="210"/>
        <v/>
      </c>
      <c r="I320" s="46"/>
      <c r="J320" s="46"/>
      <c r="K320" s="148"/>
    </row>
    <row r="321" spans="1:11" x14ac:dyDescent="0.25">
      <c r="A321" s="10">
        <f t="shared" ref="A321" si="272">A320+1</f>
        <v>42319</v>
      </c>
      <c r="B321" s="11" t="str">
        <f t="shared" si="209"/>
        <v>mercredi</v>
      </c>
      <c r="C321" s="10">
        <f t="shared" si="214"/>
        <v>42319</v>
      </c>
      <c r="D321" s="43">
        <v>0.31250000000000006</v>
      </c>
      <c r="E321" s="44"/>
      <c r="F321" s="50"/>
      <c r="G321" s="45"/>
      <c r="H321" s="46" t="str">
        <f t="shared" si="210"/>
        <v/>
      </c>
      <c r="I321" s="46"/>
      <c r="J321" s="46"/>
      <c r="K321" s="148"/>
    </row>
    <row r="322" spans="1:11" x14ac:dyDescent="0.25">
      <c r="A322" s="10">
        <f t="shared" ref="A322" si="273">A321+1</f>
        <v>42320</v>
      </c>
      <c r="B322" s="11" t="str">
        <f t="shared" si="209"/>
        <v>jeudi</v>
      </c>
      <c r="C322" s="10">
        <f t="shared" si="214"/>
        <v>42320</v>
      </c>
      <c r="D322" s="43">
        <v>0.31250000000000006</v>
      </c>
      <c r="E322" s="44"/>
      <c r="F322" s="50"/>
      <c r="G322" s="45"/>
      <c r="H322" s="46" t="str">
        <f t="shared" si="210"/>
        <v/>
      </c>
      <c r="I322" s="46"/>
      <c r="J322" s="46"/>
      <c r="K322" s="148"/>
    </row>
    <row r="323" spans="1:11" x14ac:dyDescent="0.25">
      <c r="A323" s="10">
        <f t="shared" ref="A323" si="274">A322+1</f>
        <v>42321</v>
      </c>
      <c r="B323" s="11" t="str">
        <f t="shared" si="209"/>
        <v>vendredi</v>
      </c>
      <c r="C323" s="10">
        <f t="shared" si="214"/>
        <v>42321</v>
      </c>
      <c r="D323" s="43">
        <v>0.32291666666666669</v>
      </c>
      <c r="E323" s="44"/>
      <c r="F323" s="50"/>
      <c r="G323" s="45"/>
      <c r="H323" s="46" t="str">
        <f t="shared" si="210"/>
        <v/>
      </c>
      <c r="I323" s="46"/>
      <c r="J323" s="46"/>
      <c r="K323" s="148"/>
    </row>
    <row r="324" spans="1:11" x14ac:dyDescent="0.25">
      <c r="A324" s="10">
        <f t="shared" ref="A324" si="275">A323+1</f>
        <v>42322</v>
      </c>
      <c r="B324" s="11" t="str">
        <f t="shared" si="209"/>
        <v>samedi</v>
      </c>
      <c r="C324" s="10">
        <f t="shared" si="214"/>
        <v>42322</v>
      </c>
      <c r="D324" s="43"/>
      <c r="E324" s="44"/>
      <c r="F324" s="50"/>
      <c r="G324" s="45"/>
      <c r="H324" s="46" t="str">
        <f t="shared" si="210"/>
        <v/>
      </c>
      <c r="I324" s="46"/>
      <c r="J324" s="46"/>
      <c r="K324" s="148"/>
    </row>
    <row r="325" spans="1:11" x14ac:dyDescent="0.25">
      <c r="A325" s="10">
        <f t="shared" ref="A325" si="276">A324+1</f>
        <v>42323</v>
      </c>
      <c r="B325" s="11" t="str">
        <f t="shared" ref="B325:B374" si="277">LOWER(TEXT(C325,"jjjj"))</f>
        <v>dimanche</v>
      </c>
      <c r="C325" s="10">
        <f t="shared" si="214"/>
        <v>42323</v>
      </c>
      <c r="D325" s="43"/>
      <c r="E325" s="44"/>
      <c r="F325" s="39">
        <f>SUM(E319:E324)</f>
        <v>0</v>
      </c>
      <c r="G325" s="45"/>
      <c r="H325" s="46" t="str">
        <f t="shared" ref="H325:H374" si="278">IF(OR(G325="AT",G325="AM",G325="CMat",G325="For"),D325,"")</f>
        <v/>
      </c>
      <c r="I325" s="57">
        <f>SUM(H319:H324)</f>
        <v>0</v>
      </c>
      <c r="J325" s="46" t="str">
        <f>IF((SUM(E319:E324)&gt;paramètres!$E$20),SUM(E319:E324)-paramètres!$E$20,"")</f>
        <v/>
      </c>
      <c r="K325" s="148"/>
    </row>
    <row r="326" spans="1:11" x14ac:dyDescent="0.25">
      <c r="A326" s="10">
        <f t="shared" ref="A326" si="279">A325+1</f>
        <v>42324</v>
      </c>
      <c r="B326" s="11" t="str">
        <f t="shared" si="277"/>
        <v>lundi</v>
      </c>
      <c r="C326" s="10">
        <f t="shared" si="214"/>
        <v>42324</v>
      </c>
      <c r="D326" s="43">
        <v>0.32291666666666669</v>
      </c>
      <c r="E326" s="44"/>
      <c r="F326" s="50"/>
      <c r="G326" s="45"/>
      <c r="H326" s="46" t="str">
        <f t="shared" si="278"/>
        <v/>
      </c>
      <c r="I326" s="46"/>
      <c r="J326" s="46"/>
      <c r="K326" s="148">
        <f t="shared" si="235"/>
        <v>47</v>
      </c>
    </row>
    <row r="327" spans="1:11" x14ac:dyDescent="0.25">
      <c r="A327" s="10">
        <f t="shared" ref="A327" si="280">A326+1</f>
        <v>42325</v>
      </c>
      <c r="B327" s="11" t="str">
        <f t="shared" si="277"/>
        <v>mardi</v>
      </c>
      <c r="C327" s="10">
        <f t="shared" si="214"/>
        <v>42325</v>
      </c>
      <c r="D327" s="43">
        <v>0.31250000000000006</v>
      </c>
      <c r="E327" s="44"/>
      <c r="F327" s="50"/>
      <c r="G327" s="45"/>
      <c r="H327" s="46" t="str">
        <f t="shared" si="278"/>
        <v/>
      </c>
      <c r="I327" s="46"/>
      <c r="J327" s="46"/>
      <c r="K327" s="148"/>
    </row>
    <row r="328" spans="1:11" x14ac:dyDescent="0.25">
      <c r="A328" s="10">
        <f t="shared" ref="A328" si="281">A327+1</f>
        <v>42326</v>
      </c>
      <c r="B328" s="11" t="str">
        <f t="shared" si="277"/>
        <v>mercredi</v>
      </c>
      <c r="C328" s="10">
        <f t="shared" ref="C328:C370" si="282">C327+1</f>
        <v>42326</v>
      </c>
      <c r="D328" s="43">
        <v>0.31250000000000006</v>
      </c>
      <c r="E328" s="44"/>
      <c r="F328" s="50"/>
      <c r="G328" s="45"/>
      <c r="H328" s="46" t="str">
        <f t="shared" si="278"/>
        <v/>
      </c>
      <c r="I328" s="46"/>
      <c r="J328" s="46"/>
      <c r="K328" s="148"/>
    </row>
    <row r="329" spans="1:11" x14ac:dyDescent="0.25">
      <c r="A329" s="10">
        <f t="shared" ref="A329" si="283">A328+1</f>
        <v>42327</v>
      </c>
      <c r="B329" s="11" t="str">
        <f t="shared" si="277"/>
        <v>jeudi</v>
      </c>
      <c r="C329" s="10">
        <f t="shared" si="282"/>
        <v>42327</v>
      </c>
      <c r="D329" s="43">
        <v>0.31250000000000006</v>
      </c>
      <c r="E329" s="44"/>
      <c r="F329" s="50"/>
      <c r="G329" s="45"/>
      <c r="H329" s="46" t="str">
        <f t="shared" si="278"/>
        <v/>
      </c>
      <c r="I329" s="46"/>
      <c r="J329" s="46"/>
      <c r="K329" s="148"/>
    </row>
    <row r="330" spans="1:11" x14ac:dyDescent="0.25">
      <c r="A330" s="10">
        <f t="shared" ref="A330" si="284">A329+1</f>
        <v>42328</v>
      </c>
      <c r="B330" s="11" t="str">
        <f t="shared" si="277"/>
        <v>vendredi</v>
      </c>
      <c r="C330" s="10">
        <f t="shared" si="282"/>
        <v>42328</v>
      </c>
      <c r="D330" s="43">
        <v>0.32291666666666669</v>
      </c>
      <c r="E330" s="44"/>
      <c r="F330" s="50"/>
      <c r="G330" s="45"/>
      <c r="H330" s="46" t="str">
        <f t="shared" si="278"/>
        <v/>
      </c>
      <c r="I330" s="46"/>
      <c r="J330" s="46"/>
      <c r="K330" s="148"/>
    </row>
    <row r="331" spans="1:11" x14ac:dyDescent="0.25">
      <c r="A331" s="10">
        <f t="shared" ref="A331" si="285">A330+1</f>
        <v>42329</v>
      </c>
      <c r="B331" s="11" t="str">
        <f t="shared" si="277"/>
        <v>samedi</v>
      </c>
      <c r="C331" s="10">
        <f t="shared" si="282"/>
        <v>42329</v>
      </c>
      <c r="D331" s="43"/>
      <c r="E331" s="44"/>
      <c r="F331" s="50"/>
      <c r="G331" s="45"/>
      <c r="H331" s="46" t="str">
        <f t="shared" si="278"/>
        <v/>
      </c>
      <c r="I331" s="46"/>
      <c r="J331" s="46"/>
      <c r="K331" s="148"/>
    </row>
    <row r="332" spans="1:11" x14ac:dyDescent="0.25">
      <c r="A332" s="10">
        <f t="shared" ref="A332" si="286">A331+1</f>
        <v>42330</v>
      </c>
      <c r="B332" s="11" t="str">
        <f t="shared" si="277"/>
        <v>dimanche</v>
      </c>
      <c r="C332" s="10">
        <f t="shared" si="282"/>
        <v>42330</v>
      </c>
      <c r="D332" s="43"/>
      <c r="E332" s="44"/>
      <c r="F332" s="39">
        <f>SUM(E326:E331)</f>
        <v>0</v>
      </c>
      <c r="G332" s="45"/>
      <c r="H332" s="46" t="str">
        <f t="shared" si="278"/>
        <v/>
      </c>
      <c r="I332" s="57">
        <f>SUM(H326:H331)</f>
        <v>0</v>
      </c>
      <c r="J332" s="46" t="str">
        <f>IF((SUM(E326:E331)&gt;paramètres!$E$20),SUM(E326:E331)-paramètres!$E$20,"")</f>
        <v/>
      </c>
      <c r="K332" s="148"/>
    </row>
    <row r="333" spans="1:11" x14ac:dyDescent="0.25">
      <c r="A333" s="10">
        <f t="shared" ref="A333" si="287">A332+1</f>
        <v>42331</v>
      </c>
      <c r="B333" s="11" t="str">
        <f t="shared" si="277"/>
        <v>lundi</v>
      </c>
      <c r="C333" s="10">
        <f t="shared" si="282"/>
        <v>42331</v>
      </c>
      <c r="D333" s="43">
        <v>0.32291666666666663</v>
      </c>
      <c r="E333" s="44"/>
      <c r="F333" s="50"/>
      <c r="G333" s="45"/>
      <c r="H333" s="46" t="str">
        <f t="shared" si="278"/>
        <v/>
      </c>
      <c r="I333" s="46"/>
      <c r="J333" s="46"/>
      <c r="K333" s="148">
        <f t="shared" si="235"/>
        <v>48</v>
      </c>
    </row>
    <row r="334" spans="1:11" x14ac:dyDescent="0.25">
      <c r="A334" s="10">
        <f t="shared" ref="A334" si="288">A333+1</f>
        <v>42332</v>
      </c>
      <c r="B334" s="11" t="str">
        <f t="shared" si="277"/>
        <v>mardi</v>
      </c>
      <c r="C334" s="10">
        <f t="shared" si="282"/>
        <v>42332</v>
      </c>
      <c r="D334" s="43">
        <v>0.31250000000000006</v>
      </c>
      <c r="E334" s="44"/>
      <c r="F334" s="50"/>
      <c r="G334" s="45"/>
      <c r="H334" s="46" t="str">
        <f t="shared" si="278"/>
        <v/>
      </c>
      <c r="I334" s="46"/>
      <c r="J334" s="46"/>
      <c r="K334" s="148"/>
    </row>
    <row r="335" spans="1:11" x14ac:dyDescent="0.25">
      <c r="A335" s="10">
        <f t="shared" ref="A335" si="289">A334+1</f>
        <v>42333</v>
      </c>
      <c r="B335" s="11" t="str">
        <f t="shared" si="277"/>
        <v>mercredi</v>
      </c>
      <c r="C335" s="10">
        <f t="shared" si="282"/>
        <v>42333</v>
      </c>
      <c r="D335" s="43">
        <v>0.31250000000000006</v>
      </c>
      <c r="E335" s="44"/>
      <c r="F335" s="50"/>
      <c r="G335" s="45"/>
      <c r="H335" s="46" t="str">
        <f t="shared" si="278"/>
        <v/>
      </c>
      <c r="I335" s="46"/>
      <c r="J335" s="46"/>
      <c r="K335" s="148"/>
    </row>
    <row r="336" spans="1:11" x14ac:dyDescent="0.25">
      <c r="A336" s="10">
        <f t="shared" ref="A336" si="290">A335+1</f>
        <v>42334</v>
      </c>
      <c r="B336" s="11" t="str">
        <f t="shared" si="277"/>
        <v>jeudi</v>
      </c>
      <c r="C336" s="10">
        <f t="shared" si="282"/>
        <v>42334</v>
      </c>
      <c r="D336" s="43">
        <v>0.31250000000000006</v>
      </c>
      <c r="E336" s="44"/>
      <c r="F336" s="50"/>
      <c r="G336" s="45"/>
      <c r="H336" s="46" t="str">
        <f t="shared" si="278"/>
        <v/>
      </c>
      <c r="I336" s="46"/>
      <c r="J336" s="46"/>
      <c r="K336" s="148"/>
    </row>
    <row r="337" spans="1:11" x14ac:dyDescent="0.25">
      <c r="A337" s="10">
        <f t="shared" ref="A337" si="291">A336+1</f>
        <v>42335</v>
      </c>
      <c r="B337" s="11" t="str">
        <f t="shared" si="277"/>
        <v>vendredi</v>
      </c>
      <c r="C337" s="10">
        <f t="shared" si="282"/>
        <v>42335</v>
      </c>
      <c r="D337" s="43">
        <v>0.32291666666666669</v>
      </c>
      <c r="E337" s="44"/>
      <c r="F337" s="50"/>
      <c r="G337" s="45"/>
      <c r="H337" s="46" t="str">
        <f t="shared" si="278"/>
        <v/>
      </c>
      <c r="I337" s="46"/>
      <c r="J337" s="46"/>
      <c r="K337" s="148"/>
    </row>
    <row r="338" spans="1:11" x14ac:dyDescent="0.25">
      <c r="A338" s="10">
        <f t="shared" ref="A338" si="292">A337+1</f>
        <v>42336</v>
      </c>
      <c r="B338" s="11" t="str">
        <f t="shared" si="277"/>
        <v>samedi</v>
      </c>
      <c r="C338" s="10">
        <f t="shared" si="282"/>
        <v>42336</v>
      </c>
      <c r="D338" s="43"/>
      <c r="E338" s="44"/>
      <c r="F338" s="50"/>
      <c r="G338" s="45"/>
      <c r="H338" s="46" t="str">
        <f t="shared" si="278"/>
        <v/>
      </c>
      <c r="I338" s="46"/>
      <c r="J338" s="46"/>
      <c r="K338" s="148"/>
    </row>
    <row r="339" spans="1:11" x14ac:dyDescent="0.25">
      <c r="A339" s="10">
        <f t="shared" ref="A339" si="293">A338+1</f>
        <v>42337</v>
      </c>
      <c r="B339" s="11" t="str">
        <f t="shared" si="277"/>
        <v>dimanche</v>
      </c>
      <c r="C339" s="10">
        <f t="shared" si="282"/>
        <v>42337</v>
      </c>
      <c r="D339" s="43"/>
      <c r="E339" s="44"/>
      <c r="F339" s="39">
        <f>SUM(E333:E338)</f>
        <v>0</v>
      </c>
      <c r="G339" s="45"/>
      <c r="H339" s="46" t="str">
        <f t="shared" si="278"/>
        <v/>
      </c>
      <c r="I339" s="57">
        <f>SUM(H333:H338)</f>
        <v>0</v>
      </c>
      <c r="J339" s="46" t="str">
        <f>IF((SUM(E333:E338)&gt;paramètres!$E$20),SUM(E333:E338)-paramètres!$E$20,"")</f>
        <v/>
      </c>
      <c r="K339" s="148"/>
    </row>
    <row r="340" spans="1:11" x14ac:dyDescent="0.25">
      <c r="A340" s="10">
        <f t="shared" ref="A340" si="294">A339+1</f>
        <v>42338</v>
      </c>
      <c r="B340" s="11" t="str">
        <f t="shared" si="277"/>
        <v>lundi</v>
      </c>
      <c r="C340" s="10">
        <f t="shared" si="282"/>
        <v>42338</v>
      </c>
      <c r="D340" s="43">
        <v>0.32291666666666663</v>
      </c>
      <c r="E340" s="44"/>
      <c r="F340" s="50"/>
      <c r="G340" s="45" t="s">
        <v>47</v>
      </c>
      <c r="H340" s="46" t="str">
        <f t="shared" si="278"/>
        <v/>
      </c>
      <c r="I340" s="46"/>
      <c r="J340" s="46"/>
      <c r="K340" s="148">
        <f t="shared" si="235"/>
        <v>49</v>
      </c>
    </row>
    <row r="341" spans="1:11" x14ac:dyDescent="0.25">
      <c r="A341" s="10">
        <f t="shared" ref="A341" si="295">A340+1</f>
        <v>42339</v>
      </c>
      <c r="B341" s="11" t="str">
        <f t="shared" si="277"/>
        <v>mardi</v>
      </c>
      <c r="C341" s="10">
        <f t="shared" si="282"/>
        <v>42339</v>
      </c>
      <c r="D341" s="43">
        <v>0.31250000000000006</v>
      </c>
      <c r="E341" s="44"/>
      <c r="F341" s="50"/>
      <c r="G341" s="45" t="s">
        <v>47</v>
      </c>
      <c r="H341" s="46" t="str">
        <f t="shared" si="278"/>
        <v/>
      </c>
      <c r="I341" s="46"/>
      <c r="J341" s="46"/>
      <c r="K341" s="148"/>
    </row>
    <row r="342" spans="1:11" x14ac:dyDescent="0.25">
      <c r="A342" s="10">
        <f t="shared" ref="A342" si="296">A341+1</f>
        <v>42340</v>
      </c>
      <c r="B342" s="11" t="str">
        <f t="shared" si="277"/>
        <v>mercredi</v>
      </c>
      <c r="C342" s="10">
        <f t="shared" si="282"/>
        <v>42340</v>
      </c>
      <c r="D342" s="43">
        <v>0.31250000000000006</v>
      </c>
      <c r="E342" s="44"/>
      <c r="F342" s="50"/>
      <c r="G342" s="45"/>
      <c r="H342" s="46" t="str">
        <f t="shared" si="278"/>
        <v/>
      </c>
      <c r="I342" s="46"/>
      <c r="J342" s="46"/>
      <c r="K342" s="148"/>
    </row>
    <row r="343" spans="1:11" x14ac:dyDescent="0.25">
      <c r="A343" s="10">
        <f t="shared" ref="A343" si="297">A342+1</f>
        <v>42341</v>
      </c>
      <c r="B343" s="11" t="str">
        <f t="shared" si="277"/>
        <v>jeudi</v>
      </c>
      <c r="C343" s="10">
        <f>C342+1</f>
        <v>42341</v>
      </c>
      <c r="D343" s="43">
        <v>0.3125</v>
      </c>
      <c r="E343" s="44"/>
      <c r="F343" s="50"/>
      <c r="G343" s="45"/>
      <c r="H343" s="46" t="str">
        <f t="shared" si="278"/>
        <v/>
      </c>
      <c r="I343" s="46"/>
      <c r="J343" s="46"/>
      <c r="K343" s="148"/>
    </row>
    <row r="344" spans="1:11" x14ac:dyDescent="0.25">
      <c r="A344" s="10">
        <f t="shared" ref="A344" si="298">A343+1</f>
        <v>42342</v>
      </c>
      <c r="B344" s="11" t="str">
        <f t="shared" si="277"/>
        <v>vendredi</v>
      </c>
      <c r="C344" s="10">
        <f>C343+1</f>
        <v>42342</v>
      </c>
      <c r="D344" s="43">
        <v>0.32291666666666669</v>
      </c>
      <c r="E344" s="44"/>
      <c r="F344" s="50"/>
      <c r="G344" s="45"/>
      <c r="H344" s="46" t="str">
        <f t="shared" si="278"/>
        <v/>
      </c>
      <c r="I344" s="46"/>
      <c r="J344" s="46"/>
      <c r="K344" s="148"/>
    </row>
    <row r="345" spans="1:11" x14ac:dyDescent="0.25">
      <c r="A345" s="10">
        <f t="shared" ref="A345" si="299">A344+1</f>
        <v>42343</v>
      </c>
      <c r="B345" s="11" t="str">
        <f t="shared" si="277"/>
        <v>samedi</v>
      </c>
      <c r="C345" s="10">
        <f t="shared" si="282"/>
        <v>42343</v>
      </c>
      <c r="D345" s="43"/>
      <c r="E345" s="44"/>
      <c r="F345" s="50"/>
      <c r="G345" s="45"/>
      <c r="H345" s="46" t="str">
        <f t="shared" si="278"/>
        <v/>
      </c>
      <c r="I345" s="46"/>
      <c r="J345" s="46"/>
      <c r="K345" s="148"/>
    </row>
    <row r="346" spans="1:11" x14ac:dyDescent="0.25">
      <c r="A346" s="10">
        <f t="shared" ref="A346" si="300">A345+1</f>
        <v>42344</v>
      </c>
      <c r="B346" s="11" t="str">
        <f t="shared" si="277"/>
        <v>dimanche</v>
      </c>
      <c r="C346" s="10">
        <f t="shared" si="282"/>
        <v>42344</v>
      </c>
      <c r="D346" s="43"/>
      <c r="E346" s="45"/>
      <c r="F346" s="39">
        <f>SUM(E340:E345)</f>
        <v>0</v>
      </c>
      <c r="G346" s="45"/>
      <c r="H346" s="46" t="str">
        <f t="shared" si="278"/>
        <v/>
      </c>
      <c r="I346" s="57">
        <f>SUM(H340:H345)</f>
        <v>0</v>
      </c>
      <c r="J346" s="46" t="str">
        <f>IF((SUM(E340:E345)&gt;paramètres!$E$20),SUM(E340:E345)-paramètres!$E$20,"")</f>
        <v/>
      </c>
      <c r="K346" s="148"/>
    </row>
    <row r="347" spans="1:11" x14ac:dyDescent="0.25">
      <c r="A347" s="10">
        <f t="shared" ref="A347" si="301">A346+1</f>
        <v>42345</v>
      </c>
      <c r="B347" s="11" t="str">
        <f t="shared" si="277"/>
        <v>lundi</v>
      </c>
      <c r="C347" s="10">
        <f t="shared" si="282"/>
        <v>42345</v>
      </c>
      <c r="D347" s="43">
        <v>0.32291666666666663</v>
      </c>
      <c r="E347" s="44"/>
      <c r="F347" s="50"/>
      <c r="G347" s="45"/>
      <c r="H347" s="46" t="str">
        <f t="shared" si="278"/>
        <v/>
      </c>
      <c r="I347" s="46"/>
      <c r="J347" s="46"/>
      <c r="K347" s="148">
        <f t="shared" si="235"/>
        <v>50</v>
      </c>
    </row>
    <row r="348" spans="1:11" x14ac:dyDescent="0.25">
      <c r="A348" s="10">
        <f t="shared" ref="A348" si="302">A347+1</f>
        <v>42346</v>
      </c>
      <c r="B348" s="11" t="str">
        <f t="shared" si="277"/>
        <v>mardi</v>
      </c>
      <c r="C348" s="10">
        <f t="shared" si="282"/>
        <v>42346</v>
      </c>
      <c r="D348" s="43">
        <v>0.31250000000000006</v>
      </c>
      <c r="E348" s="44"/>
      <c r="F348" s="50"/>
      <c r="G348" s="45"/>
      <c r="H348" s="46" t="str">
        <f t="shared" si="278"/>
        <v/>
      </c>
      <c r="I348" s="46"/>
      <c r="J348" s="46"/>
      <c r="K348" s="148"/>
    </row>
    <row r="349" spans="1:11" x14ac:dyDescent="0.25">
      <c r="A349" s="10">
        <f t="shared" ref="A349" si="303">A348+1</f>
        <v>42347</v>
      </c>
      <c r="B349" s="11" t="str">
        <f t="shared" si="277"/>
        <v>mercredi</v>
      </c>
      <c r="C349" s="10">
        <f t="shared" si="282"/>
        <v>42347</v>
      </c>
      <c r="D349" s="43">
        <v>0.31250000000000006</v>
      </c>
      <c r="E349" s="44"/>
      <c r="F349" s="50"/>
      <c r="G349" s="45"/>
      <c r="H349" s="46" t="str">
        <f t="shared" si="278"/>
        <v/>
      </c>
      <c r="I349" s="46"/>
      <c r="J349" s="46"/>
      <c r="K349" s="148"/>
    </row>
    <row r="350" spans="1:11" x14ac:dyDescent="0.25">
      <c r="A350" s="10">
        <f t="shared" ref="A350" si="304">A349+1</f>
        <v>42348</v>
      </c>
      <c r="B350" s="11" t="str">
        <f t="shared" si="277"/>
        <v>jeudi</v>
      </c>
      <c r="C350" s="10">
        <f t="shared" si="282"/>
        <v>42348</v>
      </c>
      <c r="D350" s="43">
        <v>0.31250000000000006</v>
      </c>
      <c r="E350" s="44"/>
      <c r="F350" s="50"/>
      <c r="G350" s="45"/>
      <c r="H350" s="46" t="str">
        <f t="shared" si="278"/>
        <v/>
      </c>
      <c r="I350" s="46"/>
      <c r="J350" s="46"/>
      <c r="K350" s="148"/>
    </row>
    <row r="351" spans="1:11" x14ac:dyDescent="0.25">
      <c r="A351" s="10">
        <f t="shared" ref="A351" si="305">A350+1</f>
        <v>42349</v>
      </c>
      <c r="B351" s="11" t="str">
        <f t="shared" si="277"/>
        <v>vendredi</v>
      </c>
      <c r="C351" s="10">
        <f t="shared" si="282"/>
        <v>42349</v>
      </c>
      <c r="D351" s="43">
        <v>0.1875</v>
      </c>
      <c r="E351" s="44"/>
      <c r="F351" s="50"/>
      <c r="G351" s="45"/>
      <c r="H351" s="46" t="str">
        <f t="shared" si="278"/>
        <v/>
      </c>
      <c r="I351" s="46"/>
      <c r="J351" s="46"/>
      <c r="K351" s="148"/>
    </row>
    <row r="352" spans="1:11" x14ac:dyDescent="0.25">
      <c r="A352" s="10">
        <f t="shared" ref="A352" si="306">A351+1</f>
        <v>42350</v>
      </c>
      <c r="B352" s="11" t="str">
        <f t="shared" si="277"/>
        <v>samedi</v>
      </c>
      <c r="C352" s="10">
        <f t="shared" si="282"/>
        <v>42350</v>
      </c>
      <c r="D352" s="43"/>
      <c r="E352" s="44"/>
      <c r="F352" s="50"/>
      <c r="G352" s="45"/>
      <c r="H352" s="46" t="str">
        <f t="shared" si="278"/>
        <v/>
      </c>
      <c r="I352" s="46"/>
      <c r="J352" s="46"/>
      <c r="K352" s="148"/>
    </row>
    <row r="353" spans="1:11" x14ac:dyDescent="0.25">
      <c r="A353" s="10">
        <f t="shared" ref="A353" si="307">A352+1</f>
        <v>42351</v>
      </c>
      <c r="B353" s="11" t="str">
        <f t="shared" si="277"/>
        <v>dimanche</v>
      </c>
      <c r="C353" s="10">
        <f t="shared" si="282"/>
        <v>42351</v>
      </c>
      <c r="D353" s="43"/>
      <c r="E353" s="45"/>
      <c r="F353" s="39">
        <f>SUM(E347:E352)</f>
        <v>0</v>
      </c>
      <c r="G353" s="45"/>
      <c r="H353" s="46" t="str">
        <f t="shared" si="278"/>
        <v/>
      </c>
      <c r="I353" s="57">
        <f>SUM(H347:H352)</f>
        <v>0</v>
      </c>
      <c r="J353" s="46" t="str">
        <f>IF((SUM(E347:E352)&gt;paramètres!$E$20),SUM(E347:E352)-paramètres!$E$20,"")</f>
        <v/>
      </c>
      <c r="K353" s="148"/>
    </row>
    <row r="354" spans="1:11" x14ac:dyDescent="0.25">
      <c r="A354" s="10">
        <f t="shared" ref="A354" si="308">A353+1</f>
        <v>42352</v>
      </c>
      <c r="B354" s="11" t="str">
        <f t="shared" si="277"/>
        <v>lundi</v>
      </c>
      <c r="C354" s="10">
        <f t="shared" si="282"/>
        <v>42352</v>
      </c>
      <c r="D354" s="43">
        <v>0.33333333333333331</v>
      </c>
      <c r="E354" s="44"/>
      <c r="F354" s="50"/>
      <c r="G354" s="45"/>
      <c r="H354" s="46" t="str">
        <f t="shared" si="278"/>
        <v/>
      </c>
      <c r="I354" s="46"/>
      <c r="J354" s="46"/>
      <c r="K354" s="148">
        <f t="shared" ref="K354:K368" si="309">IF(WEEKDAY(A354,2)=1,WEEKNUM(A354),"")</f>
        <v>51</v>
      </c>
    </row>
    <row r="355" spans="1:11" x14ac:dyDescent="0.25">
      <c r="A355" s="10">
        <f t="shared" ref="A355" si="310">A354+1</f>
        <v>42353</v>
      </c>
      <c r="B355" s="11" t="str">
        <f t="shared" si="277"/>
        <v>mardi</v>
      </c>
      <c r="C355" s="10">
        <f t="shared" si="282"/>
        <v>42353</v>
      </c>
      <c r="D355" s="43">
        <v>0.29166666666666669</v>
      </c>
      <c r="E355" s="44"/>
      <c r="F355" s="50"/>
      <c r="G355" s="45"/>
      <c r="H355" s="46" t="str">
        <f t="shared" si="278"/>
        <v/>
      </c>
      <c r="I355" s="46"/>
      <c r="J355" s="46"/>
      <c r="K355" s="148"/>
    </row>
    <row r="356" spans="1:11" x14ac:dyDescent="0.25">
      <c r="A356" s="10">
        <f t="shared" ref="A356" si="311">A355+1</f>
        <v>42354</v>
      </c>
      <c r="B356" s="11" t="str">
        <f t="shared" si="277"/>
        <v>mercredi</v>
      </c>
      <c r="C356" s="10">
        <f t="shared" si="282"/>
        <v>42354</v>
      </c>
      <c r="D356" s="43">
        <v>0.33333333333333331</v>
      </c>
      <c r="E356" s="44"/>
      <c r="F356" s="50"/>
      <c r="G356" s="45"/>
      <c r="H356" s="46" t="str">
        <f t="shared" si="278"/>
        <v/>
      </c>
      <c r="I356" s="46"/>
      <c r="J356" s="46"/>
      <c r="K356" s="148"/>
    </row>
    <row r="357" spans="1:11" x14ac:dyDescent="0.25">
      <c r="A357" s="10">
        <f t="shared" ref="A357" si="312">A356+1</f>
        <v>42355</v>
      </c>
      <c r="B357" s="11" t="str">
        <f t="shared" si="277"/>
        <v>jeudi</v>
      </c>
      <c r="C357" s="10">
        <f t="shared" si="282"/>
        <v>42355</v>
      </c>
      <c r="D357" s="43" t="s">
        <v>46</v>
      </c>
      <c r="E357" s="44"/>
      <c r="F357" s="50"/>
      <c r="G357" s="45"/>
      <c r="H357" s="46" t="str">
        <f t="shared" si="278"/>
        <v/>
      </c>
      <c r="I357" s="46"/>
      <c r="J357" s="46"/>
      <c r="K357" s="148"/>
    </row>
    <row r="358" spans="1:11" x14ac:dyDescent="0.25">
      <c r="A358" s="10">
        <f t="shared" ref="A358" si="313">A357+1</f>
        <v>42356</v>
      </c>
      <c r="B358" s="11" t="str">
        <f t="shared" si="277"/>
        <v>vendredi</v>
      </c>
      <c r="C358" s="10">
        <f t="shared" si="282"/>
        <v>42356</v>
      </c>
      <c r="D358" s="43" t="s">
        <v>46</v>
      </c>
      <c r="E358" s="44"/>
      <c r="F358" s="50"/>
      <c r="G358" s="45"/>
      <c r="H358" s="46" t="str">
        <f t="shared" si="278"/>
        <v/>
      </c>
      <c r="I358" s="46"/>
      <c r="J358" s="46"/>
      <c r="K358" s="148"/>
    </row>
    <row r="359" spans="1:11" x14ac:dyDescent="0.25">
      <c r="A359" s="10">
        <f t="shared" ref="A359" si="314">A358+1</f>
        <v>42357</v>
      </c>
      <c r="B359" s="11" t="str">
        <f t="shared" si="277"/>
        <v>samedi</v>
      </c>
      <c r="C359" s="10">
        <f t="shared" si="282"/>
        <v>42357</v>
      </c>
      <c r="D359" s="43"/>
      <c r="E359" s="44"/>
      <c r="F359" s="50"/>
      <c r="G359" s="45"/>
      <c r="H359" s="46" t="str">
        <f t="shared" si="278"/>
        <v/>
      </c>
      <c r="I359" s="46"/>
      <c r="J359" s="46"/>
      <c r="K359" s="148"/>
    </row>
    <row r="360" spans="1:11" x14ac:dyDescent="0.25">
      <c r="A360" s="10">
        <f t="shared" ref="A360" si="315">A359+1</f>
        <v>42358</v>
      </c>
      <c r="B360" s="11" t="str">
        <f t="shared" si="277"/>
        <v>dimanche</v>
      </c>
      <c r="C360" s="10">
        <f t="shared" si="282"/>
        <v>42358</v>
      </c>
      <c r="D360" s="43"/>
      <c r="E360" s="45"/>
      <c r="F360" s="39">
        <f>SUM(E354:E359)</f>
        <v>0</v>
      </c>
      <c r="G360" s="45"/>
      <c r="H360" s="46" t="str">
        <f t="shared" si="278"/>
        <v/>
      </c>
      <c r="I360" s="57">
        <f>SUM(H354:H359)</f>
        <v>0</v>
      </c>
      <c r="J360" s="46" t="str">
        <f>IF((SUM(E354:E359)&gt;paramètres!$E$20),SUM(E354:E359)-paramètres!$E$20,"")</f>
        <v/>
      </c>
      <c r="K360" s="148"/>
    </row>
    <row r="361" spans="1:11" x14ac:dyDescent="0.25">
      <c r="A361" s="10">
        <f t="shared" ref="A361" si="316">A360+1</f>
        <v>42359</v>
      </c>
      <c r="B361" s="11" t="str">
        <f t="shared" si="277"/>
        <v>lundi</v>
      </c>
      <c r="C361" s="10">
        <f t="shared" si="282"/>
        <v>42359</v>
      </c>
      <c r="D361" s="43" t="s">
        <v>46</v>
      </c>
      <c r="E361" s="44"/>
      <c r="F361" s="50"/>
      <c r="G361" s="45"/>
      <c r="H361" s="46" t="str">
        <f t="shared" si="278"/>
        <v/>
      </c>
      <c r="I361" s="46"/>
      <c r="J361" s="46"/>
      <c r="K361" s="148">
        <f t="shared" si="309"/>
        <v>52</v>
      </c>
    </row>
    <row r="362" spans="1:11" x14ac:dyDescent="0.25">
      <c r="A362" s="10">
        <f t="shared" ref="A362" si="317">A361+1</f>
        <v>42360</v>
      </c>
      <c r="B362" s="11" t="str">
        <f t="shared" si="277"/>
        <v>mardi</v>
      </c>
      <c r="C362" s="10">
        <f t="shared" si="282"/>
        <v>42360</v>
      </c>
      <c r="D362" s="43" t="s">
        <v>13</v>
      </c>
      <c r="E362" s="44"/>
      <c r="F362" s="50"/>
      <c r="G362" s="45"/>
      <c r="H362" s="46" t="str">
        <f t="shared" si="278"/>
        <v/>
      </c>
      <c r="I362" s="46"/>
      <c r="J362" s="46"/>
      <c r="K362" s="148"/>
    </row>
    <row r="363" spans="1:11" x14ac:dyDescent="0.25">
      <c r="A363" s="10">
        <f t="shared" ref="A363" si="318">A362+1</f>
        <v>42361</v>
      </c>
      <c r="B363" s="11" t="str">
        <f t="shared" si="277"/>
        <v>mercredi</v>
      </c>
      <c r="C363" s="10">
        <f t="shared" si="282"/>
        <v>42361</v>
      </c>
      <c r="D363" s="43" t="s">
        <v>13</v>
      </c>
      <c r="E363" s="44"/>
      <c r="F363" s="50"/>
      <c r="G363" s="45"/>
      <c r="H363" s="46" t="str">
        <f t="shared" si="278"/>
        <v/>
      </c>
      <c r="I363" s="46"/>
      <c r="J363" s="46"/>
      <c r="K363" s="148"/>
    </row>
    <row r="364" spans="1:11" x14ac:dyDescent="0.25">
      <c r="A364" s="10">
        <f t="shared" ref="A364" si="319">A363+1</f>
        <v>42362</v>
      </c>
      <c r="B364" s="11" t="str">
        <f t="shared" si="277"/>
        <v>jeudi</v>
      </c>
      <c r="C364" s="10">
        <f t="shared" si="282"/>
        <v>42362</v>
      </c>
      <c r="D364" s="43"/>
      <c r="E364" s="44"/>
      <c r="F364" s="50"/>
      <c r="G364" s="45"/>
      <c r="H364" s="46" t="str">
        <f t="shared" si="278"/>
        <v/>
      </c>
      <c r="I364" s="46"/>
      <c r="J364" s="46"/>
      <c r="K364" s="148"/>
    </row>
    <row r="365" spans="1:11" x14ac:dyDescent="0.25">
      <c r="A365" s="10">
        <f t="shared" ref="A365" si="320">A364+1</f>
        <v>42363</v>
      </c>
      <c r="B365" s="11" t="str">
        <f t="shared" si="277"/>
        <v>vendredi</v>
      </c>
      <c r="C365" s="10">
        <f t="shared" si="282"/>
        <v>42363</v>
      </c>
      <c r="D365" s="43" t="s">
        <v>13</v>
      </c>
      <c r="E365" s="44"/>
      <c r="F365" s="50"/>
      <c r="G365" s="45"/>
      <c r="H365" s="46" t="str">
        <f t="shared" si="278"/>
        <v/>
      </c>
      <c r="I365" s="46"/>
      <c r="J365" s="46"/>
      <c r="K365" s="148"/>
    </row>
    <row r="366" spans="1:11" x14ac:dyDescent="0.25">
      <c r="A366" s="10">
        <f t="shared" ref="A366" si="321">A365+1</f>
        <v>42364</v>
      </c>
      <c r="B366" s="11" t="str">
        <f t="shared" si="277"/>
        <v>samedi</v>
      </c>
      <c r="C366" s="10">
        <f t="shared" si="282"/>
        <v>42364</v>
      </c>
      <c r="D366" s="43"/>
      <c r="E366" s="44"/>
      <c r="F366" s="50"/>
      <c r="G366" s="45"/>
      <c r="H366" s="46" t="str">
        <f t="shared" si="278"/>
        <v/>
      </c>
      <c r="I366" s="46"/>
      <c r="J366" s="46"/>
      <c r="K366" s="148"/>
    </row>
    <row r="367" spans="1:11" x14ac:dyDescent="0.25">
      <c r="A367" s="10">
        <f t="shared" ref="A367" si="322">A366+1</f>
        <v>42365</v>
      </c>
      <c r="B367" s="11" t="str">
        <f t="shared" si="277"/>
        <v>dimanche</v>
      </c>
      <c r="C367" s="10">
        <f t="shared" si="282"/>
        <v>42365</v>
      </c>
      <c r="D367" s="43"/>
      <c r="E367" s="45"/>
      <c r="F367" s="39">
        <f>SUM(E361:E366)</f>
        <v>0</v>
      </c>
      <c r="G367" s="45"/>
      <c r="H367" s="46" t="str">
        <f t="shared" si="278"/>
        <v/>
      </c>
      <c r="I367" s="57">
        <f>SUM(H361:H366)</f>
        <v>0</v>
      </c>
      <c r="J367" s="46" t="str">
        <f>IF((SUM(E361:E366)&gt;paramètres!$E$20),SUM(E361:E366)-paramètres!$E$20,"")</f>
        <v/>
      </c>
      <c r="K367" s="148"/>
    </row>
    <row r="368" spans="1:11" x14ac:dyDescent="0.25">
      <c r="A368" s="10">
        <f t="shared" ref="A368" si="323">A367+1</f>
        <v>42366</v>
      </c>
      <c r="B368" s="11" t="str">
        <f t="shared" si="277"/>
        <v>lundi</v>
      </c>
      <c r="C368" s="10">
        <f t="shared" si="282"/>
        <v>42366</v>
      </c>
      <c r="D368" s="43" t="s">
        <v>13</v>
      </c>
      <c r="E368" s="44"/>
      <c r="F368" s="50"/>
      <c r="G368" s="45"/>
      <c r="H368" s="46" t="str">
        <f t="shared" si="278"/>
        <v/>
      </c>
      <c r="I368" s="46"/>
      <c r="J368" s="46"/>
      <c r="K368" s="148">
        <f t="shared" si="309"/>
        <v>53</v>
      </c>
    </row>
    <row r="369" spans="1:11" x14ac:dyDescent="0.25">
      <c r="A369" s="10">
        <f t="shared" ref="A369" si="324">A368+1</f>
        <v>42367</v>
      </c>
      <c r="B369" s="11" t="str">
        <f t="shared" si="277"/>
        <v>mardi</v>
      </c>
      <c r="C369" s="10">
        <f t="shared" si="282"/>
        <v>42367</v>
      </c>
      <c r="D369" s="43" t="s">
        <v>13</v>
      </c>
      <c r="E369" s="44"/>
      <c r="F369" s="50"/>
      <c r="G369" s="45"/>
      <c r="H369" s="46" t="str">
        <f t="shared" si="278"/>
        <v/>
      </c>
      <c r="I369" s="46"/>
      <c r="J369" s="46"/>
      <c r="K369" s="148"/>
    </row>
    <row r="370" spans="1:11" x14ac:dyDescent="0.25">
      <c r="A370" s="10">
        <f t="shared" ref="A370" si="325">A369+1</f>
        <v>42368</v>
      </c>
      <c r="B370" s="11" t="str">
        <f t="shared" si="277"/>
        <v>mercredi</v>
      </c>
      <c r="C370" s="10">
        <f t="shared" si="282"/>
        <v>42368</v>
      </c>
      <c r="D370" s="43" t="s">
        <v>13</v>
      </c>
      <c r="E370" s="44"/>
      <c r="F370" s="50"/>
      <c r="G370" s="45"/>
      <c r="H370" s="46" t="str">
        <f t="shared" si="278"/>
        <v/>
      </c>
      <c r="I370" s="46"/>
      <c r="J370" s="46"/>
      <c r="K370" s="148"/>
    </row>
    <row r="371" spans="1:11" x14ac:dyDescent="0.25">
      <c r="A371" s="10">
        <f t="shared" ref="A371:C374" si="326">A370+1</f>
        <v>42369</v>
      </c>
      <c r="B371" s="11" t="str">
        <f t="shared" si="277"/>
        <v>jeudi</v>
      </c>
      <c r="C371" s="10">
        <f t="shared" si="326"/>
        <v>42369</v>
      </c>
      <c r="D371" s="43"/>
      <c r="E371" s="44"/>
      <c r="F371" s="50"/>
      <c r="G371" s="45"/>
      <c r="H371" s="46" t="str">
        <f t="shared" si="278"/>
        <v/>
      </c>
      <c r="I371" s="46"/>
      <c r="J371" s="46"/>
      <c r="K371" s="148"/>
    </row>
    <row r="372" spans="1:11" x14ac:dyDescent="0.25">
      <c r="A372" s="10">
        <f t="shared" si="326"/>
        <v>42370</v>
      </c>
      <c r="B372" s="11" t="str">
        <f t="shared" si="277"/>
        <v>vendredi</v>
      </c>
      <c r="C372" s="10">
        <f t="shared" si="326"/>
        <v>42370</v>
      </c>
      <c r="D372" s="43"/>
      <c r="E372" s="44"/>
      <c r="F372" s="50"/>
      <c r="G372" s="45"/>
      <c r="H372" s="46" t="str">
        <f t="shared" si="278"/>
        <v/>
      </c>
      <c r="I372" s="46"/>
      <c r="J372" s="46"/>
      <c r="K372" s="148"/>
    </row>
    <row r="373" spans="1:11" x14ac:dyDescent="0.25">
      <c r="A373" s="10">
        <f t="shared" si="326"/>
        <v>42371</v>
      </c>
      <c r="B373" s="11" t="str">
        <f t="shared" si="277"/>
        <v>samedi</v>
      </c>
      <c r="C373" s="10">
        <f t="shared" si="326"/>
        <v>42371</v>
      </c>
      <c r="D373" s="43"/>
      <c r="E373" s="44"/>
      <c r="F373" s="50"/>
      <c r="G373" s="45"/>
      <c r="H373" s="46" t="str">
        <f t="shared" si="278"/>
        <v/>
      </c>
      <c r="I373" s="46"/>
      <c r="J373" s="46"/>
      <c r="K373" s="148"/>
    </row>
    <row r="374" spans="1:11" x14ac:dyDescent="0.25">
      <c r="A374" s="10">
        <f t="shared" si="326"/>
        <v>42372</v>
      </c>
      <c r="B374" s="11" t="str">
        <f t="shared" si="277"/>
        <v>dimanche</v>
      </c>
      <c r="C374" s="10">
        <f t="shared" si="326"/>
        <v>42372</v>
      </c>
      <c r="D374" s="43"/>
      <c r="E374" s="44"/>
      <c r="F374" s="39">
        <f>IF(SUM(E368:E373)&gt;=paramètres!$E$20,paramètres!$E$20,SUM(E368:E373))</f>
        <v>0</v>
      </c>
      <c r="G374" s="45"/>
      <c r="H374" s="46" t="str">
        <f t="shared" si="278"/>
        <v/>
      </c>
      <c r="I374" s="58">
        <f>SUM(H368:H373)</f>
        <v>0</v>
      </c>
      <c r="J374" s="46" t="str">
        <f>IF((SUM(E368:E373)&gt;paramètres!$E$20),SUM(E368:E373)-paramètres!$E$20,"")</f>
        <v/>
      </c>
      <c r="K374" s="148"/>
    </row>
    <row r="375" spans="1:11" x14ac:dyDescent="0.25">
      <c r="B375" s="17"/>
      <c r="C375" s="18"/>
      <c r="D375" s="51"/>
      <c r="E375" s="52"/>
      <c r="F375" s="52"/>
      <c r="G375" s="53"/>
      <c r="H375" s="51"/>
      <c r="I375" s="51"/>
      <c r="J375" s="53"/>
      <c r="K375" s="19"/>
    </row>
    <row r="376" spans="1:11" x14ac:dyDescent="0.25">
      <c r="B376" s="17"/>
      <c r="C376" s="18"/>
      <c r="D376" s="51"/>
      <c r="G376" s="53"/>
      <c r="H376" s="51"/>
      <c r="I376" s="51"/>
    </row>
    <row r="377" spans="1:11" ht="15.75" thickBot="1" x14ac:dyDescent="0.3">
      <c r="C377" s="73" t="s">
        <v>76</v>
      </c>
      <c r="D377" s="73"/>
      <c r="E377" s="73"/>
      <c r="F377" s="73"/>
      <c r="G377" s="73"/>
      <c r="H377" s="73"/>
      <c r="I377" s="73"/>
      <c r="J377" s="73"/>
    </row>
    <row r="378" spans="1:11" ht="34.5" customHeight="1" x14ac:dyDescent="0.25">
      <c r="C378" s="65" t="s">
        <v>4</v>
      </c>
      <c r="D378" s="156" t="str">
        <f>IF(C379&gt;(F379+H379),"Heures restant à faire","dépassement annuel")</f>
        <v>Heures restant à faire</v>
      </c>
      <c r="E378" s="156"/>
      <c r="F378" s="164" t="s">
        <v>79</v>
      </c>
      <c r="G378" s="164"/>
      <c r="H378" s="162" t="s">
        <v>65</v>
      </c>
      <c r="I378" s="162"/>
      <c r="J378" s="158" t="s">
        <v>61</v>
      </c>
      <c r="K378" s="159"/>
    </row>
    <row r="379" spans="1:11" ht="28.5" customHeight="1" thickBot="1" x14ac:dyDescent="0.3">
      <c r="C379" s="66">
        <f>SUM(planifié)</f>
        <v>60.354166666666607</v>
      </c>
      <c r="D379" s="157">
        <f>IF(C379&gt;=(F379+H379),C379-F379-H379,((F379+H379)-C379))</f>
        <v>50.791666666666607</v>
      </c>
      <c r="E379" s="157"/>
      <c r="F379" s="157">
        <f>SUM(realisé)</f>
        <v>8.2916666666666679</v>
      </c>
      <c r="G379" s="157"/>
      <c r="H379" s="163">
        <f>SUM(total_heures_assimilées_tte)</f>
        <v>1.2708333333333335</v>
      </c>
      <c r="I379" s="163"/>
      <c r="J379" s="154">
        <f>SUM(J4:J374)</f>
        <v>0.125</v>
      </c>
      <c r="K379" s="155"/>
    </row>
    <row r="381" spans="1:11" ht="15.75" thickBot="1" x14ac:dyDescent="0.3">
      <c r="G381" s="55"/>
    </row>
    <row r="382" spans="1:11" x14ac:dyDescent="0.25">
      <c r="C382" s="160" t="s">
        <v>77</v>
      </c>
      <c r="D382" s="161"/>
      <c r="G382" s="55"/>
    </row>
    <row r="383" spans="1:11" ht="30.75" thickBot="1" x14ac:dyDescent="0.3">
      <c r="C383" s="67" t="str">
        <f>IF($C$379&gt;paramètres!D8,"Attention heures planifiées en trop",IF($C$379&lt;paramètres!D8,"manque des heures","OK"))</f>
        <v>Attention heures planifiées en trop</v>
      </c>
      <c r="D383" s="68">
        <f>IF($C$379&gt;paramètres!$D$8,planning!$C$379-paramètres!$D$8,paramètres!D8-planning!C379)</f>
        <v>1.4374999999999432</v>
      </c>
    </row>
  </sheetData>
  <mergeCells count="64">
    <mergeCell ref="J379:K379"/>
    <mergeCell ref="D378:E378"/>
    <mergeCell ref="D379:E379"/>
    <mergeCell ref="J378:K378"/>
    <mergeCell ref="C382:D382"/>
    <mergeCell ref="H378:I378"/>
    <mergeCell ref="H379:I379"/>
    <mergeCell ref="F378:G378"/>
    <mergeCell ref="F379:G379"/>
    <mergeCell ref="C1:C2"/>
    <mergeCell ref="K4:K10"/>
    <mergeCell ref="K11:K17"/>
    <mergeCell ref="K18:K24"/>
    <mergeCell ref="D1:J1"/>
    <mergeCell ref="K25:K31"/>
    <mergeCell ref="K32:K38"/>
    <mergeCell ref="K39:K45"/>
    <mergeCell ref="K46:K52"/>
    <mergeCell ref="K53:K59"/>
    <mergeCell ref="K60:K66"/>
    <mergeCell ref="K67:K73"/>
    <mergeCell ref="K74:K80"/>
    <mergeCell ref="K81:K87"/>
    <mergeCell ref="K88:K94"/>
    <mergeCell ref="K95:K101"/>
    <mergeCell ref="K102:K108"/>
    <mergeCell ref="K109:K115"/>
    <mergeCell ref="K116:K122"/>
    <mergeCell ref="K123:K129"/>
    <mergeCell ref="K130:K136"/>
    <mergeCell ref="K137:K143"/>
    <mergeCell ref="K144:K150"/>
    <mergeCell ref="K151:K157"/>
    <mergeCell ref="K158:K164"/>
    <mergeCell ref="K165:K171"/>
    <mergeCell ref="K172:K178"/>
    <mergeCell ref="K179:K185"/>
    <mergeCell ref="K186:K192"/>
    <mergeCell ref="K193:K199"/>
    <mergeCell ref="K200:K206"/>
    <mergeCell ref="K207:K213"/>
    <mergeCell ref="K214:K220"/>
    <mergeCell ref="K221:K227"/>
    <mergeCell ref="K228:K234"/>
    <mergeCell ref="K235:K241"/>
    <mergeCell ref="K242:K248"/>
    <mergeCell ref="K249:K255"/>
    <mergeCell ref="K256:K262"/>
    <mergeCell ref="K263:K269"/>
    <mergeCell ref="K270:K276"/>
    <mergeCell ref="K277:K283"/>
    <mergeCell ref="K284:K290"/>
    <mergeCell ref="K291:K297"/>
    <mergeCell ref="K298:K304"/>
    <mergeCell ref="K305:K311"/>
    <mergeCell ref="K312:K318"/>
    <mergeCell ref="K319:K325"/>
    <mergeCell ref="K326:K332"/>
    <mergeCell ref="K333:K339"/>
    <mergeCell ref="K340:K346"/>
    <mergeCell ref="K347:K353"/>
    <mergeCell ref="K354:K360"/>
    <mergeCell ref="K361:K367"/>
    <mergeCell ref="K368:K374"/>
  </mergeCells>
  <conditionalFormatting sqref="D10">
    <cfRule type="expression" dxfId="1426" priority="316">
      <formula>$C6=aujourdhui</formula>
    </cfRule>
  </conditionalFormatting>
  <conditionalFormatting sqref="E375:F375 G380:G1048576 D3:D376 E368:F372 C379:D379 D381 D383:D1048576 G3:G376 E18:F22 E46:F50 E53:F57 E60:F64 E67:F71 E74:F78 E81:F85 E88:F92 E95:F99 E102:F106 E116:F120 E123:F127 E130:F134 E137:F141 E144:F148 E151:F155 E158:F162 E165:F169 E172:F176 E179:F183 E186:F190 E193:F197 E200:F204 E207:F211 E214:F218 E221:F225 E228:F232 E235:F239 E242:F246 E249:F253 E256:F260 E263:F267 E270:F274 E277:F281 E284:F288 E291:F295 E298:F302 E305:F309 E312:F316 E319:F323 E326:F330 E333:F337 E340:F344 E347:F351 E354:F358 E361:F365 H378 F109:F113 E25:F29 E32:F36 E11:F15 E39:F43">
    <cfRule type="containsText" dxfId="1425" priority="315" operator="containsText" text="CT">
      <formula>NOT(ISERROR(SEARCH("CT",C3)))</formula>
    </cfRule>
  </conditionalFormatting>
  <conditionalFormatting sqref="F367:F372 L16 J3:J5 K3 E3:F8 F10:F15 E109:I113 E116:F120 G116:G376 F374:F375 E46:E50 E53:E57 E60:E64 E67:E71 E81:E85 E88:E92 E95:E99 E102:E106 E123:E127 E130:E134 E137:E141 E144:E148 E151:E155 E158:E162 E165:E169 E172:E176 E179:E183 E186:E190 E193:E197 E200:E204 E207:E211 E214:E218 E221:E225 E228:E232 E235:E239 E242:E246 E249:E253 E256:E260 E263:E267 E270:E274 E277:E281 E284:E288 E291:E295 E298:E302 E305:E309 E319:E323 E326:E330 E333:E337 E340:E344 E347:E351 E354:E358 E361:E365 E368:E372 E375 E114:G115 D3:D376 J379 H378:H379 E380:I380 C379:D379 D381:I381 D383:I1048576 E382:I382 E18:E22 G3:G109 E74:E78 F17:F22 F24:F29 F31:F36 F38:F43 F45:F50 F52:F57 F59:F64 F66:F71 F73:F78 F80:F85 F87:F92 F94:F99 F101:F106 F108:F113 F115:F120 F122:F127 F129:F134 F136:F141 F143:F148 F150:F155 F157:F162 F164:F169 F171:F176 F178:F183 F185:F190 F192:F197 F199:F204 F206:F211 F213:F218 F220:F225 F227:F232 F234:F239 F241:F246 F248:F253 F255:F260 F262:F267 F269:F274 F276:F281 F283:F288 F290:F295 F297:F302 F304:F309 E311:F316 F318:F323 F325:F330 F332:F337 F339:F344 F346:F351 F353:F358 F360:F365 H3:I376 E25:E29 E32:E36 E11:E15 E39:E43">
    <cfRule type="containsText" dxfId="1424" priority="314" operator="containsText" text="CP">
      <formula>NOT(ISERROR(SEARCH("CP",C3)))</formula>
    </cfRule>
  </conditionalFormatting>
  <conditionalFormatting sqref="J4:J374">
    <cfRule type="cellIs" dxfId="1423" priority="311" operator="greaterThan">
      <formula>0</formula>
    </cfRule>
  </conditionalFormatting>
  <conditionalFormatting sqref="B1:B1048576">
    <cfRule type="containsText" dxfId="1422" priority="295" operator="containsText" text="dimanche">
      <formula>NOT(ISERROR(SEARCH("dimanche",B1)))</formula>
    </cfRule>
    <cfRule type="containsText" dxfId="1421" priority="296" operator="containsText" text="samedi">
      <formula>NOT(ISERROR(SEARCH("samedi",B1)))</formula>
    </cfRule>
  </conditionalFormatting>
  <conditionalFormatting sqref="J378 D378 C382:C1048576 C1:C378">
    <cfRule type="timePeriod" dxfId="1420" priority="290" timePeriod="today">
      <formula>FLOOR(C1,1)=TODAY()</formula>
    </cfRule>
  </conditionalFormatting>
  <conditionalFormatting sqref="A4:J374">
    <cfRule type="expression" dxfId="1419" priority="10710">
      <formula>COUNTIF($O$4:$O$16,$A4)=1</formula>
    </cfRule>
  </conditionalFormatting>
  <conditionalFormatting sqref="D378:D379">
    <cfRule type="containsText" dxfId="1418" priority="74" operator="containsText" text="dépassement annuel">
      <formula>NOT(ISERROR(SEARCH("dépassement annuel",D378)))</formula>
    </cfRule>
    <cfRule type="containsText" dxfId="1417" priority="75" operator="containsText" text="Heures restant à faire">
      <formula>NOT(ISERROR(SEARCH("Heures restant à faire",D378)))</formula>
    </cfRule>
  </conditionalFormatting>
  <conditionalFormatting sqref="A4:A374 C4:C374">
    <cfRule type="expression" dxfId="1416" priority="317">
      <formula>(A4&lt;&gt;"")*(WEEKDAY(A4,2)&gt;5)</formula>
    </cfRule>
  </conditionalFormatting>
  <conditionalFormatting sqref="I4:I374 F4:F374">
    <cfRule type="cellIs" dxfId="1415" priority="2" operator="notEqual">
      <formula>0</formula>
    </cfRule>
  </conditionalFormatting>
  <dataValidations count="1">
    <dataValidation type="list" allowBlank="1" showInputMessage="1" showErrorMessage="1" sqref="G227:G376 G220 G213 G4:G206">
      <formula1>absences</formula1>
    </dataValidation>
  </dataValidations>
  <pageMargins left="0.7" right="0.7" top="0.75" bottom="0.75" header="0.3" footer="0.3"/>
  <pageSetup paperSize="9" orientation="landscape" r:id="rId1"/>
  <ignoredErrors>
    <ignoredError sqref="B4:B9 B374 B10:B373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4" r:id="rId4" name="Button 6">
              <controlPr defaultSize="0" print="0" autoFill="0" autoPict="0" macro="[0]!Copie">
                <anchor moveWithCells="1" sizeWithCells="1">
                  <from>
                    <xdr:col>11</xdr:col>
                    <xdr:colOff>28575</xdr:colOff>
                    <xdr:row>0</xdr:row>
                    <xdr:rowOff>19050</xdr:rowOff>
                  </from>
                  <to>
                    <xdr:col>16</xdr:col>
                    <xdr:colOff>0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/>
  </sheetPr>
  <dimension ref="A1:Q92"/>
  <sheetViews>
    <sheetView tabSelected="1" topLeftCell="A6" zoomScaleNormal="100" workbookViewId="0">
      <selection activeCell="C15" sqref="C15"/>
    </sheetView>
  </sheetViews>
  <sheetFormatPr baseColWidth="10" defaultRowHeight="15" x14ac:dyDescent="0.25"/>
  <cols>
    <col min="1" max="1" width="1.5703125" style="98" customWidth="1"/>
    <col min="2" max="2" width="9.7109375" style="98" bestFit="1" customWidth="1"/>
    <col min="3" max="3" width="17.5703125" style="98" customWidth="1"/>
    <col min="4" max="11" width="10.7109375" style="98" customWidth="1"/>
    <col min="12" max="13" width="11.42578125" style="98"/>
    <col min="14" max="14" width="18" style="98" bestFit="1" customWidth="1"/>
    <col min="15" max="15" width="25.7109375" style="98" bestFit="1" customWidth="1"/>
    <col min="16" max="16384" width="11.42578125" style="98"/>
  </cols>
  <sheetData>
    <row r="1" spans="1:11" x14ac:dyDescent="0.25">
      <c r="A1" s="97"/>
      <c r="B1" s="2"/>
      <c r="C1" s="2"/>
      <c r="D1" s="169" t="str">
        <f>paramètres!D2&amp;" "&amp;paramètres!D3</f>
        <v>Dupont Marcel</v>
      </c>
      <c r="E1" s="169"/>
      <c r="F1" s="169"/>
      <c r="G1" s="169"/>
      <c r="H1" s="169"/>
      <c r="I1" s="75"/>
      <c r="J1" s="75"/>
      <c r="K1" s="19"/>
    </row>
    <row r="2" spans="1:11" x14ac:dyDescent="0.25">
      <c r="A2" s="97"/>
      <c r="B2" s="2"/>
      <c r="C2" s="2"/>
      <c r="D2" s="169" t="str">
        <f>paramètres!D4</f>
        <v>Educateur</v>
      </c>
      <c r="E2" s="169"/>
      <c r="F2" s="169"/>
      <c r="G2" s="169"/>
      <c r="H2" s="169"/>
      <c r="I2" s="75"/>
      <c r="J2" s="75"/>
      <c r="K2" s="19"/>
    </row>
    <row r="3" spans="1:11" ht="23.25" x14ac:dyDescent="0.35">
      <c r="A3" s="97"/>
      <c r="B3" s="2"/>
      <c r="C3" s="2"/>
      <c r="D3" s="170">
        <f>A20</f>
        <v>42007</v>
      </c>
      <c r="E3" s="170"/>
      <c r="F3" s="170"/>
      <c r="G3" s="170"/>
      <c r="H3" s="170"/>
      <c r="I3" s="76"/>
      <c r="J3" s="76"/>
      <c r="K3" s="19"/>
    </row>
    <row r="4" spans="1:11" ht="15.75" thickBot="1" x14ac:dyDescent="0.3">
      <c r="A4" s="97"/>
      <c r="B4" s="171" t="s">
        <v>53</v>
      </c>
      <c r="C4" s="172"/>
      <c r="D4" s="172"/>
      <c r="E4" s="172"/>
      <c r="F4" s="172"/>
      <c r="G4" s="172"/>
      <c r="H4" s="172"/>
      <c r="I4" s="172"/>
      <c r="J4" s="172"/>
      <c r="K4" s="173"/>
    </row>
    <row r="5" spans="1:11" x14ac:dyDescent="0.25">
      <c r="A5" s="97"/>
      <c r="B5" s="3"/>
      <c r="C5" s="77" t="s">
        <v>41</v>
      </c>
      <c r="D5" s="77" t="s">
        <v>11</v>
      </c>
      <c r="E5" s="77" t="s">
        <v>47</v>
      </c>
      <c r="F5" s="77" t="s">
        <v>13</v>
      </c>
      <c r="G5" s="78" t="s">
        <v>44</v>
      </c>
      <c r="H5" s="78" t="s">
        <v>45</v>
      </c>
      <c r="I5" s="78" t="s">
        <v>55</v>
      </c>
      <c r="J5" s="77" t="s">
        <v>46</v>
      </c>
      <c r="K5" s="79" t="s">
        <v>59</v>
      </c>
    </row>
    <row r="6" spans="1:11" x14ac:dyDescent="0.25">
      <c r="A6" s="97"/>
      <c r="B6" s="80" t="s">
        <v>42</v>
      </c>
      <c r="C6" s="26">
        <f>SUM(D20:D51)</f>
        <v>6.0208333333333339</v>
      </c>
      <c r="D6" s="11">
        <f>COUNTIFS(planifié,D5,planning!$C$4:$C$374,"&gt;="&amp;paramètres!$H$24,planning!$C$4:$C$374,"&lt;="&amp;paramètres!$H$25)</f>
        <v>1</v>
      </c>
      <c r="E6" s="11">
        <f>COUNTIFS(planifié,E5,planning!$C$4:$C$374,"&gt;="&amp;paramètres!$H$24,planning!$C$4:$C$374,"&lt;="&amp;paramètres!$H$25)</f>
        <v>0</v>
      </c>
      <c r="F6" s="11">
        <f>COUNTIFS(planifié,F5,planning!$C$4:$C$374,"&gt;="&amp;paramètres!$H$24,planning!$C$4:$C$374,"&lt;="&amp;paramètres!$H$25)</f>
        <v>0</v>
      </c>
      <c r="G6" s="81"/>
      <c r="H6" s="81"/>
      <c r="I6" s="11">
        <f>COUNTIFS(planifié,I5,planning!$C$4:$C$374,"&gt;="&amp;paramètres!$H$24,planning!$C$4:$C$374,"&lt;="&amp;paramètres!$H$25)</f>
        <v>0</v>
      </c>
      <c r="J6" s="11">
        <f>COUNTIFS(planifié,J5,planning!$C$4:$C$374,"&gt;="&amp;paramètres!$H$24,planning!$C$4:$C$374,"&lt;="&amp;paramètres!$H$25)</f>
        <v>2</v>
      </c>
      <c r="K6" s="82">
        <f>COUNTIFS(planifié,K5,planning!$C$4:$C$374,"&gt;="&amp;paramètres!$H$24,planning!$C$4:$C$374,"&lt;="&amp;paramètres!$H$25)</f>
        <v>0</v>
      </c>
    </row>
    <row r="7" spans="1:11" x14ac:dyDescent="0.25">
      <c r="A7" s="97"/>
      <c r="B7" s="80" t="s">
        <v>43</v>
      </c>
      <c r="C7" s="26">
        <f>SUM(E18:E49)</f>
        <v>4.75</v>
      </c>
      <c r="D7" s="11">
        <f>COUNTIFS(saisie_absence,D5,planning!$C$4:$C$374,"&gt;="&amp;paramètres!$H$24,planning!$C$4:$C$374,"&lt;="&amp;paramètres!$H$25)</f>
        <v>0</v>
      </c>
      <c r="E7" s="11">
        <f>COUNTIFS(saisie_absence,E5,planning!$C$4:$C$374,"&gt;="&amp;paramètres!$H$24,planning!$C$4:$C$374,"&lt;="&amp;paramètres!$H$25)</f>
        <v>0</v>
      </c>
      <c r="F7" s="11">
        <f>COUNTIFS(saisie_absence,F5,planning!$C$4:$C$374,"&gt;="&amp;paramètres!$H$24,planning!$C$4:$C$374,"&lt;="&amp;paramètres!$H$25)</f>
        <v>0</v>
      </c>
      <c r="G7" s="11">
        <f>COUNTIFS(saisie_absence,G5,planning!$C$4:$C$374,"&gt;="&amp;paramètres!$H$24,planning!$C$4:$C$374,"&lt;="&amp;paramètres!$H$25)</f>
        <v>5</v>
      </c>
      <c r="H7" s="11">
        <f>COUNTIFS(saisie_absence,H5,planning!$C$4:$C$374,"&gt;="&amp;paramètres!$H$24,planning!$C$4:$C$374,"&lt;="&amp;paramètres!$H$25)</f>
        <v>0</v>
      </c>
      <c r="I7" s="11">
        <f>COUNTIFS(saisie_absence,I5,planning!$C$4:$C$374,"&gt;="&amp;paramètres!$H$24,planning!$C$4:$C$374,"&lt;="&amp;paramètres!$H$25)</f>
        <v>0</v>
      </c>
      <c r="J7" s="11">
        <f>COUNTIFS(saisie_absence,J5,planning!$C$4:$C$374,"&gt;="&amp;paramètres!$H$24,planning!$C$4:$C$374,"&lt;="&amp;paramètres!$H$25)</f>
        <v>0</v>
      </c>
      <c r="K7" s="82">
        <f>COUNTIFS(saisie_absence,K5,planning!$C$4:$C$374,"&gt;="&amp;paramètres!$H$24,planning!$C$4:$C$374,"&lt;="&amp;paramètres!$H$25)</f>
        <v>0</v>
      </c>
    </row>
    <row r="8" spans="1:11" ht="45.75" thickBot="1" x14ac:dyDescent="0.3">
      <c r="A8" s="97"/>
      <c r="B8" s="83" t="s">
        <v>78</v>
      </c>
      <c r="C8" s="84">
        <f>SUM(E18:E48,I18:I48)</f>
        <v>6.0208333333333339</v>
      </c>
      <c r="D8" s="85"/>
      <c r="E8" s="86"/>
      <c r="F8" s="86"/>
      <c r="G8" s="86"/>
      <c r="H8" s="85"/>
      <c r="I8" s="85"/>
      <c r="J8" s="87" t="s">
        <v>69</v>
      </c>
      <c r="K8" s="88">
        <f>SUM(J18:J51)</f>
        <v>0</v>
      </c>
    </row>
    <row r="9" spans="1:11" x14ac:dyDescent="0.25">
      <c r="A9" s="97"/>
      <c r="B9" s="2"/>
      <c r="C9" s="2"/>
      <c r="D9" s="2"/>
      <c r="E9" s="2"/>
      <c r="F9" s="2"/>
      <c r="G9" s="2"/>
      <c r="H9" s="2"/>
      <c r="I9" s="2"/>
      <c r="J9" s="19"/>
      <c r="K9" s="2"/>
    </row>
    <row r="10" spans="1:11" x14ac:dyDescent="0.25">
      <c r="A10" s="97"/>
      <c r="B10" s="174" t="s">
        <v>74</v>
      </c>
      <c r="C10" s="174"/>
      <c r="D10" s="174"/>
      <c r="E10" s="174"/>
      <c r="F10" s="174"/>
      <c r="G10" s="174"/>
      <c r="H10" s="174"/>
      <c r="I10" s="174"/>
      <c r="J10" s="174"/>
      <c r="K10" s="174"/>
    </row>
    <row r="11" spans="1:11" x14ac:dyDescent="0.25">
      <c r="A11" s="97"/>
      <c r="B11" s="89"/>
      <c r="C11" s="90" t="s">
        <v>41</v>
      </c>
      <c r="D11" s="90" t="s">
        <v>11</v>
      </c>
      <c r="E11" s="90" t="s">
        <v>47</v>
      </c>
      <c r="F11" s="90" t="s">
        <v>13</v>
      </c>
      <c r="G11" s="90" t="s">
        <v>44</v>
      </c>
      <c r="H11" s="90" t="s">
        <v>45</v>
      </c>
      <c r="I11" s="90" t="s">
        <v>55</v>
      </c>
      <c r="J11" s="90" t="s">
        <v>46</v>
      </c>
      <c r="K11" s="91" t="s">
        <v>59</v>
      </c>
    </row>
    <row r="12" spans="1:11" x14ac:dyDescent="0.25">
      <c r="A12" s="97"/>
      <c r="B12" s="92" t="s">
        <v>4</v>
      </c>
      <c r="C12" s="195">
        <f>SUMPRODUCT((planning!$A$4:$A$374&gt;=paramètres!M2)*(planning!$A$4:$A$374&lt;=paramètres!$H$25),(planifié))</f>
        <v>6.0208333333333339</v>
      </c>
      <c r="D12" s="93">
        <f>COUNTIFS(planifié,D11,planning!$C$4:$C$374,"&gt;="&amp;paramètres!$M$2,planning!$C$4:$C$374,"&lt;="&amp;paramètres!$H$25)</f>
        <v>1</v>
      </c>
      <c r="E12" s="93">
        <f>COUNTIFS(planifié,E11,planning!$C$4:$C$374,"&gt;="&amp;paramètres!$M$2,planning!$C$4:$C$374,"&lt;="&amp;paramètres!$H$25)</f>
        <v>0</v>
      </c>
      <c r="F12" s="93">
        <f>COUNTIFS(planifié,F11,planning!$C$4:$C$374,"&gt;="&amp;paramètres!$M$2,planning!$C$4:$C$374,"&lt;="&amp;paramètres!$H$25)</f>
        <v>0</v>
      </c>
      <c r="G12" s="94"/>
      <c r="H12" s="94"/>
      <c r="I12" s="93">
        <f>COUNTIFS(planifié,I11,planning!$C$4:$C$374,"&gt;="&amp;paramètres!$M$2,planning!$C$4:$C$374,"&lt;="&amp;paramètres!$H$25)</f>
        <v>0</v>
      </c>
      <c r="J12" s="93">
        <f>COUNTIFS(planifié,J11,planning!$C$4:$C$374,"&gt;="&amp;paramètres!$M$2,planning!$C$4:$C$374,"&lt;="&amp;paramètres!$H$25)</f>
        <v>2</v>
      </c>
      <c r="K12" s="93">
        <f>COUNTIFS(planifié,K11,planning!$C$4:$C$374,"&gt;="&amp;paramètres!$M$2,planning!$C$4:$C$374,"&lt;="&amp;paramètres!$H$25)</f>
        <v>0</v>
      </c>
    </row>
    <row r="13" spans="1:11" x14ac:dyDescent="0.25">
      <c r="A13" s="97"/>
      <c r="B13" s="92" t="s">
        <v>54</v>
      </c>
      <c r="C13" s="196" t="e">
        <f>SUMPRODUCT((planning!$A$4:$A$374&gt;=paramètres!M2)*(planning!$A$4:$A$374&lt;=paramètres!$H$25)*(realisé)+(Heures_assimilées_TTE))</f>
        <v>#VALUE!</v>
      </c>
      <c r="D13" s="93">
        <f>COUNTIFS(saisie_absence,D12,planning!$C$4:$C$374,"&gt;="&amp;paramètres!$M$2,planning!$C$4:$C$374,"&lt;="&amp;paramètres!$H$25)</f>
        <v>0</v>
      </c>
      <c r="E13" s="93">
        <f>COUNTIFS(saisie_absence,E12,planning!$C$4:$C$374,"&gt;="&amp;paramètres!$M$2,planning!$C$4:$C$374,"&lt;="&amp;paramètres!$H$25)</f>
        <v>0</v>
      </c>
      <c r="F13" s="93">
        <f>COUNTIFS(saisie_absence,F12,planning!$C$4:$C$374,"&gt;="&amp;paramètres!$M$2,planning!$C$4:$C$374,"&lt;="&amp;paramètres!$H$25)</f>
        <v>0</v>
      </c>
      <c r="G13" s="93">
        <f>COUNTIFS(saisie_absence,G12,planning!$C$4:$C$374,"&gt;="&amp;paramètres!$M$2,planning!$C$4:$C$374,"&lt;="&amp;paramètres!$H$25)</f>
        <v>0</v>
      </c>
      <c r="H13" s="93">
        <f>COUNTIFS(saisie_absence,H12,planning!$C$4:$C$374,"&gt;="&amp;paramètres!$M$2,planning!$C$4:$C$374,"&lt;="&amp;paramètres!$H$25)</f>
        <v>0</v>
      </c>
      <c r="I13" s="93">
        <f>COUNTIFS(saisie_absence,I12,planning!$C$4:$C$374,"&gt;="&amp;paramètres!$M$2,planning!$C$4:$C$374,"&lt;="&amp;paramètres!$H$25)</f>
        <v>0</v>
      </c>
      <c r="J13" s="93">
        <f>COUNTIFS(saisie_absence,J12,planning!$C$4:$C$374,"&gt;="&amp;paramètres!$M$2,planning!$C$4:$C$374,"&lt;="&amp;paramètres!$H$25)</f>
        <v>0</v>
      </c>
      <c r="K13" s="93">
        <f>COUNTIFS(saisie_absence,K12,planning!$C$4:$C$374,"&gt;="&amp;paramètres!$M$2,planning!$C$4:$C$374,"&lt;="&amp;paramètres!$H$25)</f>
        <v>0</v>
      </c>
    </row>
    <row r="14" spans="1:11" ht="15.75" thickBot="1" x14ac:dyDescent="0.3">
      <c r="B14" s="190" t="s">
        <v>75</v>
      </c>
      <c r="C14" s="191"/>
      <c r="D14" s="192">
        <f>(SUMPRODUCT((planning!$A$4:$A$374&gt;=paramètres!M2)*(planning!$A$4:$A$374&lt;paramètres!$H$24),(dépassement_hebdo)))</f>
        <v>0</v>
      </c>
      <c r="E14" s="193"/>
      <c r="F14" s="95"/>
      <c r="G14" s="95"/>
      <c r="H14" s="95"/>
      <c r="I14" s="95"/>
      <c r="J14" s="95"/>
      <c r="K14" s="96"/>
    </row>
    <row r="15" spans="1:11" x14ac:dyDescent="0.25">
      <c r="B15" s="2"/>
      <c r="C15" s="194">
        <f>SUMPRODUCT((planning!$A$4:$A$374&gt;=paramètres!M2)*(planning!$A$4:$A$374&lt;=paramètres!$H$25),(realisé))</f>
        <v>4.75</v>
      </c>
      <c r="D15" s="2"/>
      <c r="E15" s="2"/>
      <c r="F15" s="2"/>
      <c r="G15" s="2"/>
      <c r="H15" s="2"/>
      <c r="I15" s="19"/>
      <c r="J15" s="19"/>
      <c r="K15" s="19"/>
    </row>
    <row r="16" spans="1:11" x14ac:dyDescent="0.25">
      <c r="B16" s="2"/>
      <c r="C16" s="194">
        <f>SUMPRODUCT((planning!$A$4:$A$374&gt;=paramètres!M2)*(planning!$A$4:$A$374&lt;=paramètres!$H$25),(Heures_assimilées_TTE))</f>
        <v>1.2708333333333335</v>
      </c>
      <c r="D16" s="2"/>
      <c r="E16" s="2"/>
      <c r="F16" s="2"/>
      <c r="G16" s="2"/>
      <c r="H16" s="2"/>
      <c r="I16" s="19"/>
      <c r="J16" s="19"/>
      <c r="K16" s="19"/>
    </row>
    <row r="17" spans="1:16" ht="48" x14ac:dyDescent="0.25">
      <c r="B17" s="20" t="s">
        <v>0</v>
      </c>
      <c r="C17" s="20" t="s">
        <v>1</v>
      </c>
      <c r="D17" s="54" t="s">
        <v>4</v>
      </c>
      <c r="E17" s="54" t="s">
        <v>5</v>
      </c>
      <c r="F17" s="54" t="s">
        <v>40</v>
      </c>
      <c r="G17" s="20" t="s">
        <v>50</v>
      </c>
      <c r="H17" s="62" t="s">
        <v>66</v>
      </c>
      <c r="I17" s="62" t="s">
        <v>72</v>
      </c>
      <c r="J17" s="59" t="s">
        <v>70</v>
      </c>
      <c r="K17" s="59" t="s">
        <v>71</v>
      </c>
    </row>
    <row r="18" spans="1:16" s="2" customFormat="1" x14ac:dyDescent="0.25">
      <c r="A18" s="10">
        <v>42005</v>
      </c>
      <c r="B18" s="11" t="s">
        <v>36</v>
      </c>
      <c r="C18" s="10">
        <v>42005</v>
      </c>
      <c r="D18" s="43" t="s">
        <v>46</v>
      </c>
      <c r="E18" s="44"/>
      <c r="F18" s="50"/>
      <c r="G18" s="45"/>
      <c r="H18" s="46" t="s">
        <v>64</v>
      </c>
      <c r="I18" s="46"/>
      <c r="J18" s="46"/>
      <c r="K18" s="97"/>
      <c r="N18" s="11" t="s">
        <v>23</v>
      </c>
      <c r="O18" s="12">
        <v>42125</v>
      </c>
      <c r="P18" s="11">
        <v>4</v>
      </c>
    </row>
    <row r="19" spans="1:16" s="2" customFormat="1" x14ac:dyDescent="0.25">
      <c r="A19" s="10">
        <v>42006</v>
      </c>
      <c r="B19" s="11" t="s">
        <v>37</v>
      </c>
      <c r="C19" s="10">
        <v>42006</v>
      </c>
      <c r="D19" s="43" t="s">
        <v>46</v>
      </c>
      <c r="E19" s="44"/>
      <c r="F19" s="50"/>
      <c r="G19" s="45"/>
      <c r="H19" s="46" t="s">
        <v>64</v>
      </c>
      <c r="I19" s="46"/>
      <c r="J19" s="46"/>
      <c r="K19" s="100"/>
      <c r="N19" s="11" t="s">
        <v>24</v>
      </c>
      <c r="O19" s="12">
        <v>42132</v>
      </c>
      <c r="P19" s="11">
        <v>5</v>
      </c>
    </row>
    <row r="20" spans="1:16" s="2" customFormat="1" x14ac:dyDescent="0.25">
      <c r="A20" s="10">
        <v>42007</v>
      </c>
      <c r="B20" s="11" t="s">
        <v>38</v>
      </c>
      <c r="C20" s="10">
        <v>42007</v>
      </c>
      <c r="D20" s="43"/>
      <c r="E20" s="44"/>
      <c r="F20" s="50"/>
      <c r="G20" s="45"/>
      <c r="H20" s="46" t="s">
        <v>64</v>
      </c>
      <c r="I20" s="46"/>
      <c r="J20" s="46"/>
      <c r="K20" s="99"/>
      <c r="N20" s="13" t="s">
        <v>25</v>
      </c>
      <c r="O20" s="12">
        <v>42138</v>
      </c>
      <c r="P20" s="11">
        <v>6</v>
      </c>
    </row>
    <row r="21" spans="1:16" s="2" customFormat="1" x14ac:dyDescent="0.25">
      <c r="A21" s="10">
        <v>42008</v>
      </c>
      <c r="B21" s="11" t="s">
        <v>39</v>
      </c>
      <c r="C21" s="10">
        <v>42008</v>
      </c>
      <c r="D21" s="43"/>
      <c r="E21" s="44"/>
      <c r="F21" s="39">
        <v>0</v>
      </c>
      <c r="G21" s="45"/>
      <c r="H21" s="46" t="s">
        <v>64</v>
      </c>
      <c r="I21" s="57">
        <v>0</v>
      </c>
      <c r="J21" s="46" t="s">
        <v>64</v>
      </c>
      <c r="K21" s="99"/>
      <c r="N21" s="13" t="s">
        <v>26</v>
      </c>
      <c r="O21" s="12">
        <v>42148</v>
      </c>
      <c r="P21" s="11">
        <v>7</v>
      </c>
    </row>
    <row r="22" spans="1:16" s="2" customFormat="1" x14ac:dyDescent="0.25">
      <c r="A22" s="10">
        <v>42009</v>
      </c>
      <c r="B22" s="11" t="s">
        <v>63</v>
      </c>
      <c r="C22" s="10">
        <v>42009</v>
      </c>
      <c r="D22" s="43">
        <v>0.32291666666666669</v>
      </c>
      <c r="E22" s="43">
        <v>0.32291666666666669</v>
      </c>
      <c r="F22" s="50"/>
      <c r="G22" s="45"/>
      <c r="H22" s="46" t="s">
        <v>64</v>
      </c>
      <c r="I22" s="46"/>
      <c r="J22" s="46"/>
      <c r="K22" s="99">
        <v>2</v>
      </c>
      <c r="N22" s="13" t="s">
        <v>27</v>
      </c>
      <c r="O22" s="12">
        <v>42149</v>
      </c>
      <c r="P22" s="11">
        <v>8</v>
      </c>
    </row>
    <row r="23" spans="1:16" s="2" customFormat="1" x14ac:dyDescent="0.25">
      <c r="A23" s="10">
        <v>42010</v>
      </c>
      <c r="B23" s="11" t="s">
        <v>34</v>
      </c>
      <c r="C23" s="10">
        <v>42010</v>
      </c>
      <c r="D23" s="43">
        <v>0.31250000000000006</v>
      </c>
      <c r="E23" s="43">
        <v>0.31250000000000006</v>
      </c>
      <c r="F23" s="50"/>
      <c r="G23" s="45"/>
      <c r="H23" s="46" t="s">
        <v>64</v>
      </c>
      <c r="I23" s="46"/>
      <c r="J23" s="46"/>
      <c r="K23" s="99"/>
      <c r="N23" s="11" t="s">
        <v>28</v>
      </c>
      <c r="O23" s="12">
        <v>42199</v>
      </c>
      <c r="P23" s="11">
        <v>9</v>
      </c>
    </row>
    <row r="24" spans="1:16" s="2" customFormat="1" x14ac:dyDescent="0.25">
      <c r="A24" s="10">
        <v>42011</v>
      </c>
      <c r="B24" s="11" t="s">
        <v>35</v>
      </c>
      <c r="C24" s="10">
        <v>42011</v>
      </c>
      <c r="D24" s="43">
        <v>0.31250000000000006</v>
      </c>
      <c r="E24" s="43">
        <v>0.31250000000000006</v>
      </c>
      <c r="F24" s="50"/>
      <c r="G24" s="45"/>
      <c r="H24" s="46" t="s">
        <v>64</v>
      </c>
      <c r="I24" s="46"/>
      <c r="J24" s="46"/>
      <c r="K24" s="99"/>
      <c r="N24" s="11" t="s">
        <v>29</v>
      </c>
      <c r="O24" s="12">
        <v>42231</v>
      </c>
      <c r="P24" s="11">
        <v>10</v>
      </c>
    </row>
    <row r="25" spans="1:16" s="2" customFormat="1" x14ac:dyDescent="0.25">
      <c r="A25" s="10">
        <v>42012</v>
      </c>
      <c r="B25" s="11" t="s">
        <v>36</v>
      </c>
      <c r="C25" s="10">
        <v>42012</v>
      </c>
      <c r="D25" s="43">
        <v>0.31250000000000006</v>
      </c>
      <c r="E25" s="43">
        <v>0.31250000000000006</v>
      </c>
      <c r="F25" s="50"/>
      <c r="G25" s="45"/>
      <c r="H25" s="46" t="s">
        <v>64</v>
      </c>
      <c r="I25" s="46"/>
      <c r="J25" s="46"/>
      <c r="K25" s="99"/>
      <c r="N25" s="11" t="s">
        <v>30</v>
      </c>
      <c r="O25" s="12">
        <v>42309</v>
      </c>
      <c r="P25" s="11">
        <v>11</v>
      </c>
    </row>
    <row r="26" spans="1:16" s="2" customFormat="1" x14ac:dyDescent="0.25">
      <c r="A26" s="10">
        <v>42013</v>
      </c>
      <c r="B26" s="11" t="s">
        <v>37</v>
      </c>
      <c r="C26" s="10">
        <v>42013</v>
      </c>
      <c r="D26" s="43">
        <v>0.32291666666666669</v>
      </c>
      <c r="E26" s="43">
        <v>0.32291666666666669</v>
      </c>
      <c r="F26" s="50"/>
      <c r="G26" s="45"/>
      <c r="H26" s="46" t="s">
        <v>64</v>
      </c>
      <c r="I26" s="46"/>
      <c r="J26" s="46"/>
      <c r="K26" s="99"/>
      <c r="L26" s="16"/>
      <c r="N26" s="11" t="s">
        <v>31</v>
      </c>
      <c r="O26" s="12">
        <v>42319</v>
      </c>
      <c r="P26" s="11">
        <v>12</v>
      </c>
    </row>
    <row r="27" spans="1:16" s="2" customFormat="1" x14ac:dyDescent="0.25">
      <c r="A27" s="10">
        <v>42014</v>
      </c>
      <c r="B27" s="11" t="s">
        <v>38</v>
      </c>
      <c r="C27" s="10">
        <v>42014</v>
      </c>
      <c r="D27" s="43"/>
      <c r="E27" s="44"/>
      <c r="F27" s="50"/>
      <c r="G27" s="45"/>
      <c r="H27" s="46" t="s">
        <v>64</v>
      </c>
      <c r="I27" s="46"/>
      <c r="J27" s="46"/>
      <c r="K27" s="99"/>
      <c r="L27" s="14"/>
      <c r="N27" s="11" t="s">
        <v>32</v>
      </c>
      <c r="O27" s="12">
        <v>42363</v>
      </c>
      <c r="P27" s="11">
        <v>13</v>
      </c>
    </row>
    <row r="28" spans="1:16" s="2" customFormat="1" x14ac:dyDescent="0.25">
      <c r="A28" s="10">
        <v>42015</v>
      </c>
      <c r="B28" s="11" t="s">
        <v>39</v>
      </c>
      <c r="C28" s="10">
        <v>42015</v>
      </c>
      <c r="D28" s="74"/>
      <c r="E28" s="44"/>
      <c r="F28" s="39">
        <v>1.5833333333333335</v>
      </c>
      <c r="G28" s="45"/>
      <c r="H28" s="46" t="s">
        <v>64</v>
      </c>
      <c r="I28" s="57">
        <v>0</v>
      </c>
      <c r="J28" s="46" t="s">
        <v>64</v>
      </c>
      <c r="K28" s="99"/>
    </row>
    <row r="29" spans="1:16" s="2" customFormat="1" x14ac:dyDescent="0.25">
      <c r="A29" s="10">
        <v>42016</v>
      </c>
      <c r="B29" s="11" t="s">
        <v>63</v>
      </c>
      <c r="C29" s="10">
        <v>42016</v>
      </c>
      <c r="D29" s="43">
        <v>0.32291666666666663</v>
      </c>
      <c r="E29" s="43" t="s">
        <v>44</v>
      </c>
      <c r="F29" s="50"/>
      <c r="G29" s="45" t="s">
        <v>44</v>
      </c>
      <c r="H29" s="46">
        <v>0.32291666666666663</v>
      </c>
      <c r="I29" s="46"/>
      <c r="J29" s="46"/>
      <c r="K29" s="99">
        <v>3</v>
      </c>
    </row>
    <row r="30" spans="1:16" s="2" customFormat="1" x14ac:dyDescent="0.25">
      <c r="A30" s="10">
        <v>42017</v>
      </c>
      <c r="B30" s="11" t="s">
        <v>34</v>
      </c>
      <c r="C30" s="10">
        <v>42017</v>
      </c>
      <c r="D30" s="43" t="s">
        <v>11</v>
      </c>
      <c r="E30" s="43"/>
      <c r="F30" s="50"/>
      <c r="G30" s="45" t="s">
        <v>44</v>
      </c>
      <c r="H30" s="46" t="s">
        <v>11</v>
      </c>
      <c r="I30" s="46"/>
      <c r="J30" s="46"/>
      <c r="K30" s="99"/>
      <c r="L30" s="19"/>
      <c r="M30" s="19"/>
    </row>
    <row r="31" spans="1:16" s="2" customFormat="1" x14ac:dyDescent="0.25">
      <c r="A31" s="10">
        <v>42018</v>
      </c>
      <c r="B31" s="11" t="s">
        <v>35</v>
      </c>
      <c r="C31" s="10">
        <v>42018</v>
      </c>
      <c r="D31" s="43">
        <v>0.31250000000000006</v>
      </c>
      <c r="E31" s="43"/>
      <c r="F31" s="50"/>
      <c r="G31" s="45" t="s">
        <v>44</v>
      </c>
      <c r="H31" s="46">
        <v>0.31250000000000006</v>
      </c>
      <c r="I31" s="46"/>
      <c r="J31" s="46"/>
      <c r="K31" s="99"/>
      <c r="L31" s="19"/>
      <c r="M31" s="70"/>
    </row>
    <row r="32" spans="1:16" s="2" customFormat="1" x14ac:dyDescent="0.25">
      <c r="A32" s="10">
        <v>42019</v>
      </c>
      <c r="B32" s="11" t="s">
        <v>36</v>
      </c>
      <c r="C32" s="10">
        <v>42019</v>
      </c>
      <c r="D32" s="43">
        <v>0.31250000000000006</v>
      </c>
      <c r="E32" s="43"/>
      <c r="F32" s="50"/>
      <c r="G32" s="45" t="s">
        <v>44</v>
      </c>
      <c r="H32" s="46">
        <v>0.31250000000000006</v>
      </c>
      <c r="I32" s="46"/>
      <c r="J32" s="46"/>
      <c r="K32" s="99"/>
      <c r="L32" s="19"/>
      <c r="M32" s="70"/>
    </row>
    <row r="33" spans="1:17" s="2" customFormat="1" x14ac:dyDescent="0.25">
      <c r="A33" s="10">
        <v>42020</v>
      </c>
      <c r="B33" s="11" t="s">
        <v>37</v>
      </c>
      <c r="C33" s="10">
        <v>42020</v>
      </c>
      <c r="D33" s="43">
        <v>0.32291666666666669</v>
      </c>
      <c r="E33" s="43"/>
      <c r="F33" s="50"/>
      <c r="G33" s="45" t="s">
        <v>44</v>
      </c>
      <c r="H33" s="46">
        <v>0.32291666666666669</v>
      </c>
      <c r="I33" s="46"/>
      <c r="J33" s="46"/>
      <c r="K33" s="99"/>
      <c r="L33" s="19"/>
      <c r="M33" s="70"/>
    </row>
    <row r="34" spans="1:17" s="2" customFormat="1" ht="15.75" x14ac:dyDescent="0.3">
      <c r="A34" s="10">
        <v>42021</v>
      </c>
      <c r="B34" s="11" t="s">
        <v>38</v>
      </c>
      <c r="C34" s="10">
        <v>42021</v>
      </c>
      <c r="D34" s="43"/>
      <c r="E34" s="44"/>
      <c r="F34" s="50"/>
      <c r="G34" s="45"/>
      <c r="H34" s="46" t="s">
        <v>64</v>
      </c>
      <c r="I34" s="46"/>
      <c r="J34" s="46"/>
      <c r="K34" s="99"/>
      <c r="L34" s="19"/>
      <c r="M34" s="71"/>
    </row>
    <row r="35" spans="1:17" s="2" customFormat="1" x14ac:dyDescent="0.25">
      <c r="A35" s="10">
        <v>42022</v>
      </c>
      <c r="B35" s="11" t="s">
        <v>39</v>
      </c>
      <c r="C35" s="10">
        <v>42022</v>
      </c>
      <c r="D35" s="43"/>
      <c r="E35" s="44"/>
      <c r="F35" s="39">
        <v>0</v>
      </c>
      <c r="G35" s="45"/>
      <c r="H35" s="46" t="s">
        <v>64</v>
      </c>
      <c r="I35" s="57">
        <v>1.2708333333333335</v>
      </c>
      <c r="J35" s="46" t="s">
        <v>64</v>
      </c>
      <c r="K35" s="99"/>
      <c r="L35" s="19"/>
      <c r="M35" s="72"/>
    </row>
    <row r="36" spans="1:17" s="2" customFormat="1" x14ac:dyDescent="0.25">
      <c r="A36" s="10">
        <v>42023</v>
      </c>
      <c r="B36" s="11" t="s">
        <v>63</v>
      </c>
      <c r="C36" s="10">
        <v>42023</v>
      </c>
      <c r="D36" s="43">
        <v>0.32291666666666663</v>
      </c>
      <c r="E36" s="43">
        <v>0.32291666666666663</v>
      </c>
      <c r="F36" s="50"/>
      <c r="G36" s="45"/>
      <c r="H36" s="46" t="s">
        <v>64</v>
      </c>
      <c r="I36" s="46"/>
      <c r="J36" s="46"/>
      <c r="K36" s="99">
        <v>4</v>
      </c>
      <c r="L36" s="19"/>
      <c r="M36" s="19"/>
    </row>
    <row r="37" spans="1:17" s="2" customFormat="1" x14ac:dyDescent="0.25">
      <c r="A37" s="10">
        <v>42024</v>
      </c>
      <c r="B37" s="11" t="s">
        <v>34</v>
      </c>
      <c r="C37" s="10">
        <v>42024</v>
      </c>
      <c r="D37" s="43">
        <v>0.31250000000000006</v>
      </c>
      <c r="E37" s="43">
        <v>0.31250000000000006</v>
      </c>
      <c r="F37" s="50"/>
      <c r="G37" s="45"/>
      <c r="H37" s="46" t="s">
        <v>64</v>
      </c>
      <c r="I37" s="46"/>
      <c r="J37" s="46"/>
      <c r="K37" s="99"/>
      <c r="L37" s="19"/>
      <c r="M37" s="72"/>
    </row>
    <row r="38" spans="1:17" s="2" customFormat="1" x14ac:dyDescent="0.25">
      <c r="A38" s="10">
        <v>42025</v>
      </c>
      <c r="B38" s="11" t="s">
        <v>35</v>
      </c>
      <c r="C38" s="10">
        <v>42025</v>
      </c>
      <c r="D38" s="43">
        <v>0.31250000000000006</v>
      </c>
      <c r="E38" s="43">
        <v>0.31250000000000006</v>
      </c>
      <c r="F38" s="50"/>
      <c r="G38" s="45"/>
      <c r="H38" s="46" t="s">
        <v>64</v>
      </c>
      <c r="I38" s="46"/>
      <c r="J38" s="46"/>
      <c r="K38" s="99"/>
      <c r="L38" s="19"/>
      <c r="M38" s="72"/>
      <c r="Q38" s="16"/>
    </row>
    <row r="39" spans="1:17" s="2" customFormat="1" x14ac:dyDescent="0.25">
      <c r="A39" s="10">
        <v>42026</v>
      </c>
      <c r="B39" s="11" t="s">
        <v>36</v>
      </c>
      <c r="C39" s="10">
        <v>42026</v>
      </c>
      <c r="D39" s="43">
        <v>0.31250000000000006</v>
      </c>
      <c r="E39" s="43">
        <v>0.31250000000000006</v>
      </c>
      <c r="F39" s="50"/>
      <c r="G39" s="45"/>
      <c r="H39" s="46" t="s">
        <v>64</v>
      </c>
      <c r="I39" s="46"/>
      <c r="J39" s="46"/>
      <c r="K39" s="99"/>
      <c r="L39" s="19"/>
      <c r="M39" s="72"/>
    </row>
    <row r="40" spans="1:17" s="2" customFormat="1" x14ac:dyDescent="0.25">
      <c r="A40" s="10">
        <v>42027</v>
      </c>
      <c r="B40" s="11" t="s">
        <v>37</v>
      </c>
      <c r="C40" s="10">
        <v>42027</v>
      </c>
      <c r="D40" s="43">
        <v>0.32291666666666669</v>
      </c>
      <c r="E40" s="43">
        <v>0.32291666666666669</v>
      </c>
      <c r="F40" s="50"/>
      <c r="G40" s="45"/>
      <c r="H40" s="46" t="s">
        <v>64</v>
      </c>
      <c r="I40" s="46"/>
      <c r="J40" s="46"/>
      <c r="K40" s="99"/>
    </row>
    <row r="41" spans="1:17" s="2" customFormat="1" x14ac:dyDescent="0.25">
      <c r="A41" s="10">
        <v>42028</v>
      </c>
      <c r="B41" s="11" t="s">
        <v>38</v>
      </c>
      <c r="C41" s="10">
        <v>42028</v>
      </c>
      <c r="D41" s="43"/>
      <c r="E41" s="44"/>
      <c r="F41" s="50"/>
      <c r="G41" s="45"/>
      <c r="H41" s="46" t="s">
        <v>64</v>
      </c>
      <c r="I41" s="46"/>
      <c r="J41" s="46"/>
      <c r="K41" s="99"/>
    </row>
    <row r="42" spans="1:17" s="2" customFormat="1" x14ac:dyDescent="0.25">
      <c r="A42" s="10">
        <v>42029</v>
      </c>
      <c r="B42" s="11" t="s">
        <v>39</v>
      </c>
      <c r="C42" s="10">
        <v>42029</v>
      </c>
      <c r="D42" s="43"/>
      <c r="E42" s="44"/>
      <c r="F42" s="39">
        <v>1.5833333333333335</v>
      </c>
      <c r="G42" s="45"/>
      <c r="H42" s="46" t="s">
        <v>64</v>
      </c>
      <c r="I42" s="57">
        <v>0</v>
      </c>
      <c r="J42" s="46" t="s">
        <v>64</v>
      </c>
      <c r="K42" s="99"/>
    </row>
    <row r="43" spans="1:17" s="2" customFormat="1" x14ac:dyDescent="0.25">
      <c r="A43" s="10">
        <v>42030</v>
      </c>
      <c r="B43" s="11" t="s">
        <v>63</v>
      </c>
      <c r="C43" s="10">
        <v>42030</v>
      </c>
      <c r="D43" s="43">
        <v>0.32291666666666663</v>
      </c>
      <c r="E43" s="43">
        <v>0.32291666666666663</v>
      </c>
      <c r="F43" s="50"/>
      <c r="G43" s="45"/>
      <c r="H43" s="46" t="s">
        <v>64</v>
      </c>
      <c r="I43" s="46"/>
      <c r="J43" s="46"/>
      <c r="K43" s="99">
        <v>5</v>
      </c>
    </row>
    <row r="44" spans="1:17" s="2" customFormat="1" x14ac:dyDescent="0.25">
      <c r="A44" s="10">
        <v>42031</v>
      </c>
      <c r="B44" s="11" t="s">
        <v>34</v>
      </c>
      <c r="C44" s="10">
        <v>42031</v>
      </c>
      <c r="D44" s="43">
        <v>0.31250000000000006</v>
      </c>
      <c r="E44" s="43">
        <v>0.31250000000000006</v>
      </c>
      <c r="F44" s="50"/>
      <c r="G44" s="45"/>
      <c r="H44" s="46" t="s">
        <v>64</v>
      </c>
      <c r="I44" s="46"/>
      <c r="J44" s="46"/>
      <c r="K44" s="99"/>
    </row>
    <row r="45" spans="1:17" s="2" customFormat="1" x14ac:dyDescent="0.25">
      <c r="A45" s="10">
        <v>42032</v>
      </c>
      <c r="B45" s="11" t="s">
        <v>35</v>
      </c>
      <c r="C45" s="10">
        <v>42032</v>
      </c>
      <c r="D45" s="43">
        <v>0.31250000000000006</v>
      </c>
      <c r="E45" s="43">
        <v>0.31250000000000006</v>
      </c>
      <c r="F45" s="50"/>
      <c r="G45" s="45"/>
      <c r="H45" s="46" t="s">
        <v>64</v>
      </c>
      <c r="I45" s="46"/>
      <c r="J45" s="46"/>
      <c r="K45" s="99"/>
    </row>
    <row r="46" spans="1:17" s="2" customFormat="1" x14ac:dyDescent="0.25">
      <c r="A46" s="10">
        <v>42033</v>
      </c>
      <c r="B46" s="11" t="s">
        <v>36</v>
      </c>
      <c r="C46" s="10">
        <v>42033</v>
      </c>
      <c r="D46" s="43">
        <v>0.31250000000000006</v>
      </c>
      <c r="E46" s="43">
        <v>0.31250000000000006</v>
      </c>
      <c r="F46" s="50"/>
      <c r="G46" s="45"/>
      <c r="H46" s="46" t="s">
        <v>64</v>
      </c>
      <c r="I46" s="46"/>
      <c r="J46" s="46"/>
      <c r="K46" s="99"/>
    </row>
    <row r="47" spans="1:17" s="2" customFormat="1" x14ac:dyDescent="0.25">
      <c r="A47" s="10">
        <v>42034</v>
      </c>
      <c r="B47" s="11" t="s">
        <v>37</v>
      </c>
      <c r="C47" s="10">
        <v>42034</v>
      </c>
      <c r="D47" s="43">
        <v>0.32291666666666669</v>
      </c>
      <c r="E47" s="43">
        <v>0.32291666666666669</v>
      </c>
      <c r="F47" s="50"/>
      <c r="G47" s="45"/>
      <c r="H47" s="46" t="s">
        <v>64</v>
      </c>
      <c r="I47" s="46"/>
      <c r="J47" s="46"/>
      <c r="K47" s="99"/>
    </row>
    <row r="48" spans="1:17" s="2" customFormat="1" x14ac:dyDescent="0.25">
      <c r="A48" s="10">
        <v>42035</v>
      </c>
      <c r="B48" s="11" t="s">
        <v>38</v>
      </c>
      <c r="C48" s="10">
        <v>42035</v>
      </c>
      <c r="D48" s="43"/>
      <c r="E48" s="44"/>
      <c r="F48" s="50"/>
      <c r="G48" s="45"/>
      <c r="H48" s="46" t="s">
        <v>64</v>
      </c>
      <c r="I48" s="46"/>
      <c r="J48" s="46"/>
      <c r="K48" s="99"/>
    </row>
    <row r="49" spans="1:11" ht="15.75" thickBot="1" x14ac:dyDescent="0.3">
      <c r="A49" s="101"/>
      <c r="B49" s="102"/>
      <c r="C49" s="103"/>
      <c r="D49" s="104"/>
      <c r="E49" s="105"/>
      <c r="F49" s="105"/>
      <c r="G49" s="106"/>
      <c r="H49" s="104"/>
      <c r="I49" s="104"/>
      <c r="J49" s="104"/>
      <c r="K49" s="102"/>
    </row>
    <row r="50" spans="1:11" ht="15.75" thickBot="1" x14ac:dyDescent="0.3">
      <c r="A50" s="101"/>
      <c r="B50" s="183" t="s">
        <v>73</v>
      </c>
      <c r="C50" s="184"/>
      <c r="D50" s="186"/>
      <c r="E50" s="186"/>
      <c r="F50" s="186"/>
      <c r="G50" s="186"/>
      <c r="H50" s="186"/>
      <c r="I50" s="186"/>
      <c r="J50" s="186"/>
      <c r="K50" s="187"/>
    </row>
    <row r="51" spans="1:11" ht="15.75" thickBot="1" x14ac:dyDescent="0.3">
      <c r="A51" s="101"/>
      <c r="B51" s="183"/>
      <c r="C51" s="185"/>
      <c r="D51" s="188"/>
      <c r="E51" s="188"/>
      <c r="F51" s="188"/>
      <c r="G51" s="188"/>
      <c r="H51" s="188"/>
      <c r="I51" s="188"/>
      <c r="J51" s="188"/>
      <c r="K51" s="189"/>
    </row>
    <row r="52" spans="1:11" ht="15.75" thickBot="1" x14ac:dyDescent="0.3">
      <c r="A52" s="107"/>
      <c r="B52" s="108"/>
      <c r="C52" s="97"/>
      <c r="D52" s="109"/>
      <c r="E52" s="109"/>
      <c r="F52" s="97"/>
    </row>
    <row r="53" spans="1:11" x14ac:dyDescent="0.25">
      <c r="A53" s="107"/>
      <c r="B53" s="165" t="s">
        <v>67</v>
      </c>
      <c r="C53" s="166"/>
      <c r="D53" s="179"/>
      <c r="E53" s="180"/>
      <c r="F53" s="97"/>
      <c r="H53" s="175" t="s">
        <v>68</v>
      </c>
      <c r="I53" s="176"/>
      <c r="J53" s="179"/>
      <c r="K53" s="180"/>
    </row>
    <row r="54" spans="1:11" ht="15.75" thickBot="1" x14ac:dyDescent="0.3">
      <c r="A54" s="107"/>
      <c r="B54" s="167"/>
      <c r="C54" s="168"/>
      <c r="D54" s="181"/>
      <c r="E54" s="182"/>
      <c r="F54" s="97"/>
      <c r="H54" s="177"/>
      <c r="I54" s="178"/>
      <c r="J54" s="181"/>
      <c r="K54" s="182"/>
    </row>
    <row r="55" spans="1:11" x14ac:dyDescent="0.25">
      <c r="A55" s="107"/>
      <c r="B55" s="108"/>
      <c r="C55" s="97"/>
      <c r="D55" s="97"/>
      <c r="E55" s="97"/>
      <c r="F55" s="97"/>
    </row>
    <row r="56" spans="1:11" x14ac:dyDescent="0.25">
      <c r="A56" s="107"/>
      <c r="B56" s="108"/>
      <c r="C56" s="97"/>
      <c r="D56" s="97"/>
      <c r="E56" s="97"/>
      <c r="F56" s="97"/>
    </row>
    <row r="57" spans="1:11" x14ac:dyDescent="0.25">
      <c r="A57" s="107"/>
      <c r="B57" s="108"/>
      <c r="C57" s="97"/>
      <c r="D57" s="97"/>
      <c r="E57" s="97"/>
      <c r="F57" s="97"/>
    </row>
    <row r="58" spans="1:11" x14ac:dyDescent="0.25">
      <c r="A58" s="107"/>
      <c r="B58" s="108"/>
      <c r="C58" s="97"/>
      <c r="D58" s="97"/>
      <c r="E58" s="97"/>
      <c r="F58" s="97"/>
    </row>
    <row r="59" spans="1:11" x14ac:dyDescent="0.25">
      <c r="A59" s="107"/>
      <c r="B59" s="108"/>
      <c r="C59" s="97"/>
      <c r="D59" s="97"/>
      <c r="E59" s="97"/>
      <c r="F59" s="97"/>
    </row>
    <row r="60" spans="1:11" x14ac:dyDescent="0.25">
      <c r="A60" s="107"/>
      <c r="B60" s="108"/>
      <c r="C60" s="97"/>
      <c r="D60" s="97"/>
      <c r="E60" s="97"/>
      <c r="F60" s="97"/>
    </row>
    <row r="61" spans="1:11" x14ac:dyDescent="0.25">
      <c r="A61" s="107"/>
      <c r="B61" s="108"/>
      <c r="C61" s="97"/>
      <c r="D61" s="97"/>
      <c r="E61" s="97"/>
      <c r="F61" s="97"/>
    </row>
    <row r="62" spans="1:11" x14ac:dyDescent="0.25">
      <c r="A62" s="107"/>
      <c r="B62" s="108"/>
      <c r="C62" s="97"/>
      <c r="D62" s="97"/>
      <c r="E62" s="97"/>
      <c r="F62" s="97"/>
    </row>
    <row r="63" spans="1:11" x14ac:dyDescent="0.25">
      <c r="A63" s="107"/>
      <c r="B63" s="108"/>
      <c r="C63" s="97"/>
      <c r="D63" s="97"/>
      <c r="E63" s="97"/>
      <c r="F63" s="97"/>
    </row>
    <row r="64" spans="1:11" x14ac:dyDescent="0.25">
      <c r="A64" s="107"/>
      <c r="B64" s="108"/>
      <c r="C64" s="97"/>
      <c r="D64" s="97"/>
      <c r="E64" s="97"/>
      <c r="F64" s="97"/>
    </row>
    <row r="65" spans="1:6" x14ac:dyDescent="0.25">
      <c r="A65" s="107"/>
      <c r="B65" s="108"/>
      <c r="C65" s="97"/>
      <c r="D65" s="97"/>
      <c r="E65" s="97"/>
      <c r="F65" s="97"/>
    </row>
    <row r="66" spans="1:6" x14ac:dyDescent="0.25">
      <c r="A66" s="107"/>
      <c r="B66" s="108"/>
      <c r="C66" s="97"/>
      <c r="D66" s="97"/>
      <c r="E66" s="97"/>
      <c r="F66" s="97"/>
    </row>
    <row r="67" spans="1:6" x14ac:dyDescent="0.25">
      <c r="A67" s="107"/>
      <c r="B67" s="108"/>
      <c r="C67" s="97"/>
      <c r="D67" s="97"/>
      <c r="E67" s="97"/>
      <c r="F67" s="97"/>
    </row>
    <row r="68" spans="1:6" x14ac:dyDescent="0.25">
      <c r="A68" s="107"/>
      <c r="B68" s="108"/>
      <c r="C68" s="97"/>
      <c r="D68" s="97"/>
      <c r="E68" s="97"/>
      <c r="F68" s="97"/>
    </row>
    <row r="69" spans="1:6" x14ac:dyDescent="0.25">
      <c r="A69" s="107"/>
      <c r="B69" s="108"/>
      <c r="C69" s="97"/>
      <c r="D69" s="97"/>
      <c r="E69" s="97"/>
      <c r="F69" s="97"/>
    </row>
    <row r="70" spans="1:6" x14ac:dyDescent="0.25">
      <c r="A70" s="107"/>
      <c r="B70" s="108"/>
      <c r="C70" s="97"/>
      <c r="D70" s="97"/>
      <c r="E70" s="97"/>
      <c r="F70" s="97"/>
    </row>
    <row r="71" spans="1:6" x14ac:dyDescent="0.25">
      <c r="A71" s="107"/>
      <c r="B71" s="108"/>
      <c r="C71" s="97"/>
      <c r="D71" s="97"/>
      <c r="E71" s="97"/>
      <c r="F71" s="97"/>
    </row>
    <row r="72" spans="1:6" x14ac:dyDescent="0.25">
      <c r="A72" s="107"/>
      <c r="B72" s="108"/>
      <c r="C72" s="97"/>
      <c r="D72" s="97"/>
      <c r="E72" s="97"/>
      <c r="F72" s="97"/>
    </row>
    <row r="73" spans="1:6" x14ac:dyDescent="0.25">
      <c r="A73" s="107"/>
      <c r="B73" s="108"/>
      <c r="C73" s="97"/>
      <c r="D73" s="97"/>
      <c r="E73" s="97"/>
      <c r="F73" s="97"/>
    </row>
    <row r="74" spans="1:6" x14ac:dyDescent="0.25">
      <c r="A74" s="107"/>
      <c r="B74" s="108"/>
      <c r="C74" s="97"/>
      <c r="D74" s="97"/>
      <c r="E74" s="97"/>
      <c r="F74" s="97"/>
    </row>
    <row r="75" spans="1:6" x14ac:dyDescent="0.25">
      <c r="A75" s="107"/>
      <c r="B75" s="108"/>
      <c r="C75" s="97"/>
      <c r="D75" s="97"/>
      <c r="E75" s="97"/>
      <c r="F75" s="97"/>
    </row>
    <row r="76" spans="1:6" x14ac:dyDescent="0.25">
      <c r="A76" s="107"/>
      <c r="B76" s="108"/>
      <c r="C76" s="97"/>
      <c r="D76" s="97"/>
      <c r="E76" s="97"/>
      <c r="F76" s="97"/>
    </row>
    <row r="77" spans="1:6" x14ac:dyDescent="0.25">
      <c r="A77" s="107"/>
      <c r="B77" s="108"/>
      <c r="C77" s="97"/>
      <c r="D77" s="97"/>
      <c r="E77" s="97"/>
      <c r="F77" s="97"/>
    </row>
    <row r="78" spans="1:6" x14ac:dyDescent="0.25">
      <c r="A78" s="107"/>
      <c r="B78" s="108"/>
      <c r="C78" s="97"/>
      <c r="D78" s="97"/>
      <c r="E78" s="97"/>
      <c r="F78" s="97"/>
    </row>
    <row r="79" spans="1:6" x14ac:dyDescent="0.25">
      <c r="A79" s="107"/>
      <c r="B79" s="108"/>
      <c r="C79" s="97"/>
      <c r="D79" s="97"/>
      <c r="E79" s="97"/>
      <c r="F79" s="97"/>
    </row>
    <row r="80" spans="1:6" x14ac:dyDescent="0.25">
      <c r="A80" s="107"/>
      <c r="B80" s="108"/>
      <c r="C80" s="97"/>
      <c r="D80" s="97"/>
      <c r="E80" s="97"/>
      <c r="F80" s="97"/>
    </row>
    <row r="81" spans="1:6" x14ac:dyDescent="0.25">
      <c r="A81" s="107"/>
      <c r="B81" s="108"/>
      <c r="C81" s="97"/>
      <c r="D81" s="97"/>
      <c r="E81" s="97"/>
      <c r="F81" s="97"/>
    </row>
    <row r="82" spans="1:6" x14ac:dyDescent="0.25">
      <c r="A82" s="107"/>
      <c r="B82" s="108"/>
      <c r="C82" s="97"/>
      <c r="D82" s="97"/>
      <c r="E82" s="97"/>
      <c r="F82" s="97"/>
    </row>
    <row r="83" spans="1:6" x14ac:dyDescent="0.25">
      <c r="A83" s="107"/>
      <c r="B83" s="108"/>
      <c r="C83" s="97"/>
      <c r="D83" s="97"/>
      <c r="E83" s="97"/>
      <c r="F83" s="97"/>
    </row>
    <row r="84" spans="1:6" x14ac:dyDescent="0.25">
      <c r="A84" s="107"/>
      <c r="B84" s="108"/>
      <c r="C84" s="97"/>
      <c r="D84" s="97"/>
      <c r="E84" s="97"/>
      <c r="F84" s="97"/>
    </row>
    <row r="85" spans="1:6" x14ac:dyDescent="0.25">
      <c r="A85" s="107"/>
      <c r="B85" s="108"/>
      <c r="C85" s="97"/>
      <c r="D85" s="97"/>
      <c r="E85" s="97"/>
      <c r="F85" s="97"/>
    </row>
    <row r="86" spans="1:6" x14ac:dyDescent="0.25">
      <c r="A86" s="107"/>
      <c r="B86" s="108"/>
      <c r="C86" s="97"/>
      <c r="D86" s="97"/>
      <c r="E86" s="97"/>
      <c r="F86" s="97"/>
    </row>
    <row r="87" spans="1:6" x14ac:dyDescent="0.25">
      <c r="A87" s="107"/>
      <c r="B87" s="108"/>
      <c r="C87" s="97"/>
      <c r="D87" s="97"/>
      <c r="E87" s="97"/>
      <c r="F87" s="97"/>
    </row>
    <row r="88" spans="1:6" x14ac:dyDescent="0.25">
      <c r="A88" s="107"/>
      <c r="B88" s="108"/>
      <c r="C88" s="97"/>
      <c r="D88" s="97"/>
      <c r="E88" s="97"/>
      <c r="F88" s="97"/>
    </row>
    <row r="89" spans="1:6" x14ac:dyDescent="0.25">
      <c r="A89" s="97"/>
      <c r="B89" s="97"/>
      <c r="C89" s="97"/>
      <c r="D89" s="97"/>
      <c r="E89" s="97"/>
      <c r="F89" s="97"/>
    </row>
    <row r="90" spans="1:6" x14ac:dyDescent="0.25">
      <c r="A90" s="97"/>
      <c r="B90" s="97"/>
      <c r="C90" s="97"/>
      <c r="D90" s="97"/>
      <c r="E90" s="97"/>
      <c r="F90" s="97"/>
    </row>
    <row r="91" spans="1:6" x14ac:dyDescent="0.25">
      <c r="A91" s="97"/>
      <c r="B91" s="97"/>
      <c r="C91" s="97"/>
      <c r="D91" s="97"/>
      <c r="E91" s="97"/>
      <c r="F91" s="97"/>
    </row>
    <row r="92" spans="1:6" x14ac:dyDescent="0.25">
      <c r="A92" s="97"/>
      <c r="B92" s="97"/>
      <c r="C92" s="97"/>
      <c r="D92" s="97"/>
      <c r="E92" s="97"/>
      <c r="F92" s="97"/>
    </row>
  </sheetData>
  <sheetProtection selectLockedCells="1" selectUnlockedCells="1"/>
  <mergeCells count="14">
    <mergeCell ref="B53:C54"/>
    <mergeCell ref="D1:H1"/>
    <mergeCell ref="D2:H2"/>
    <mergeCell ref="D3:H3"/>
    <mergeCell ref="B4:K4"/>
    <mergeCell ref="B10:K10"/>
    <mergeCell ref="H53:I54"/>
    <mergeCell ref="J53:K54"/>
    <mergeCell ref="B50:C50"/>
    <mergeCell ref="B51:C51"/>
    <mergeCell ref="D50:K51"/>
    <mergeCell ref="B14:C14"/>
    <mergeCell ref="D14:E14"/>
    <mergeCell ref="D53:E54"/>
  </mergeCells>
  <conditionalFormatting sqref="A51:B51 A49:A51 C49">
    <cfRule type="expression" dxfId="1414" priority="28419">
      <formula>(A49&lt;&gt;"")*(WEEKDAY(A49,2)&gt;5)</formula>
    </cfRule>
  </conditionalFormatting>
  <conditionalFormatting sqref="G17 E49:G49 D17 D49:D50">
    <cfRule type="containsText" dxfId="1413" priority="28096" operator="containsText" text="CT">
      <formula>NOT(ISERROR(SEARCH("CT",D17)))</formula>
    </cfRule>
  </conditionalFormatting>
  <conditionalFormatting sqref="I49 D49:D50 E49:G49 D17:G17 I17:K17">
    <cfRule type="containsText" dxfId="1412" priority="28095" operator="containsText" text="CP">
      <formula>NOT(ISERROR(SEARCH("CP",D17)))</formula>
    </cfRule>
  </conditionalFormatting>
  <conditionalFormatting sqref="B17 B49:B51">
    <cfRule type="containsText" dxfId="1411" priority="25396" operator="containsText" text="dimanche">
      <formula>NOT(ISERROR(SEARCH("dimanche",B17)))</formula>
    </cfRule>
    <cfRule type="containsText" dxfId="1410" priority="25397" operator="containsText" text="samedi">
      <formula>NOT(ISERROR(SEARCH("samedi",B17)))</formula>
    </cfRule>
  </conditionalFormatting>
  <conditionalFormatting sqref="C17 C49">
    <cfRule type="timePeriod" dxfId="1409" priority="23175" timePeriod="today">
      <formula>FLOOR(C17,1)=TODAY()</formula>
    </cfRule>
  </conditionalFormatting>
  <conditionalFormatting sqref="A51:B51">
    <cfRule type="expression" dxfId="1408" priority="23174">
      <formula>COUNTIF($M$5:$M$23,$C51)=1</formula>
    </cfRule>
  </conditionalFormatting>
  <conditionalFormatting sqref="A51:B51">
    <cfRule type="expression" dxfId="1407" priority="22932">
      <formula>COUNTIF($N$5:$N$23,$C51)=1</formula>
    </cfRule>
  </conditionalFormatting>
  <conditionalFormatting sqref="A51:B51">
    <cfRule type="expression" dxfId="1406" priority="19250">
      <formula>COUNTIF($M$5:$M$22,$C51)=1</formula>
    </cfRule>
  </conditionalFormatting>
  <conditionalFormatting sqref="A49:G49 A49:B50 D49:D50">
    <cfRule type="expression" dxfId="1405" priority="18265">
      <formula>COUNTIF($M$5:$M$20,$C49)=1</formula>
    </cfRule>
  </conditionalFormatting>
  <conditionalFormatting sqref="G49 E49">
    <cfRule type="expression" dxfId="1404" priority="17997">
      <formula>COUNTIF($M$5:$M$20,$C48)=1</formula>
    </cfRule>
  </conditionalFormatting>
  <conditionalFormatting sqref="A49:B50 C49 D49:D50 I49 E49:G49">
    <cfRule type="expression" dxfId="1403" priority="13067">
      <formula>COUNTIF($N$5:$N$20,$C49)=1</formula>
    </cfRule>
  </conditionalFormatting>
  <conditionalFormatting sqref="A49:B50 C49 D49:D50 E49:G49 I49:J49">
    <cfRule type="expression" dxfId="1402" priority="12736">
      <formula>COUNTIF($O$5:$O$20,$A49)=1</formula>
    </cfRule>
  </conditionalFormatting>
  <conditionalFormatting sqref="I49 F49">
    <cfRule type="cellIs" dxfId="1401" priority="12734" operator="notEqual">
      <formula>0</formula>
    </cfRule>
  </conditionalFormatting>
  <conditionalFormatting sqref="J49">
    <cfRule type="cellIs" dxfId="1400" priority="3283" operator="greaterThan">
      <formula>0</formula>
    </cfRule>
  </conditionalFormatting>
  <conditionalFormatting sqref="D18 G18">
    <cfRule type="containsText" dxfId="279" priority="278" operator="containsText" text="CT">
      <formula>NOT(ISERROR(SEARCH("CT",D18)))</formula>
    </cfRule>
  </conditionalFormatting>
  <conditionalFormatting sqref="D18:I18">
    <cfRule type="containsText" dxfId="278" priority="277" operator="containsText" text="CP">
      <formula>NOT(ISERROR(SEARCH("CP",D18)))</formula>
    </cfRule>
  </conditionalFormatting>
  <conditionalFormatting sqref="J18">
    <cfRule type="cellIs" dxfId="277" priority="276" operator="greaterThan">
      <formula>0</formula>
    </cfRule>
  </conditionalFormatting>
  <conditionalFormatting sqref="B18">
    <cfRule type="containsText" dxfId="276" priority="274" operator="containsText" text="dimanche">
      <formula>NOT(ISERROR(SEARCH("dimanche",B18)))</formula>
    </cfRule>
    <cfRule type="containsText" dxfId="275" priority="275" operator="containsText" text="samedi">
      <formula>NOT(ISERROR(SEARCH("samedi",B18)))</formula>
    </cfRule>
  </conditionalFormatting>
  <conditionalFormatting sqref="C18">
    <cfRule type="timePeriod" dxfId="274" priority="273" timePeriod="today">
      <formula>FLOOR(C18,1)=TODAY()</formula>
    </cfRule>
  </conditionalFormatting>
  <conditionalFormatting sqref="A18:J18">
    <cfRule type="expression" dxfId="273" priority="280">
      <formula>COUNTIF($O$4:$O$16,$A18)=1</formula>
    </cfRule>
  </conditionalFormatting>
  <conditionalFormatting sqref="A18 C18">
    <cfRule type="expression" dxfId="272" priority="279">
      <formula>(A18&lt;&gt;"")*(WEEKDAY(A18,2)&gt;5)</formula>
    </cfRule>
  </conditionalFormatting>
  <conditionalFormatting sqref="I18 F18">
    <cfRule type="cellIs" dxfId="271" priority="272" operator="notEqual">
      <formula>0</formula>
    </cfRule>
  </conditionalFormatting>
  <conditionalFormatting sqref="D19 G19">
    <cfRule type="containsText" dxfId="270" priority="269" operator="containsText" text="CT">
      <formula>NOT(ISERROR(SEARCH("CT",D19)))</formula>
    </cfRule>
  </conditionalFormatting>
  <conditionalFormatting sqref="D19:I19">
    <cfRule type="containsText" dxfId="269" priority="268" operator="containsText" text="CP">
      <formula>NOT(ISERROR(SEARCH("CP",D19)))</formula>
    </cfRule>
  </conditionalFormatting>
  <conditionalFormatting sqref="J19">
    <cfRule type="cellIs" dxfId="268" priority="267" operator="greaterThan">
      <formula>0</formula>
    </cfRule>
  </conditionalFormatting>
  <conditionalFormatting sqref="B19">
    <cfRule type="containsText" dxfId="267" priority="265" operator="containsText" text="dimanche">
      <formula>NOT(ISERROR(SEARCH("dimanche",B19)))</formula>
    </cfRule>
    <cfRule type="containsText" dxfId="266" priority="266" operator="containsText" text="samedi">
      <formula>NOT(ISERROR(SEARCH("samedi",B19)))</formula>
    </cfRule>
  </conditionalFormatting>
  <conditionalFormatting sqref="C19">
    <cfRule type="timePeriod" dxfId="265" priority="264" timePeriod="today">
      <formula>FLOOR(C19,1)=TODAY()</formula>
    </cfRule>
  </conditionalFormatting>
  <conditionalFormatting sqref="A19:J19">
    <cfRule type="expression" dxfId="264" priority="271">
      <formula>COUNTIF($O$4:$O$16,$A19)=1</formula>
    </cfRule>
  </conditionalFormatting>
  <conditionalFormatting sqref="A19 C19">
    <cfRule type="expression" dxfId="263" priority="270">
      <formula>(A19&lt;&gt;"")*(WEEKDAY(A19,2)&gt;5)</formula>
    </cfRule>
  </conditionalFormatting>
  <conditionalFormatting sqref="I19 F19">
    <cfRule type="cellIs" dxfId="262" priority="263" operator="notEqual">
      <formula>0</formula>
    </cfRule>
  </conditionalFormatting>
  <conditionalFormatting sqref="D20 G20">
    <cfRule type="containsText" dxfId="261" priority="260" operator="containsText" text="CT">
      <formula>NOT(ISERROR(SEARCH("CT",D20)))</formula>
    </cfRule>
  </conditionalFormatting>
  <conditionalFormatting sqref="D20 G20:I20">
    <cfRule type="containsText" dxfId="260" priority="259" operator="containsText" text="CP">
      <formula>NOT(ISERROR(SEARCH("CP",D20)))</formula>
    </cfRule>
  </conditionalFormatting>
  <conditionalFormatting sqref="J20">
    <cfRule type="cellIs" dxfId="259" priority="258" operator="greaterThan">
      <formula>0</formula>
    </cfRule>
  </conditionalFormatting>
  <conditionalFormatting sqref="B20">
    <cfRule type="containsText" dxfId="258" priority="256" operator="containsText" text="dimanche">
      <formula>NOT(ISERROR(SEARCH("dimanche",B20)))</formula>
    </cfRule>
    <cfRule type="containsText" dxfId="257" priority="257" operator="containsText" text="samedi">
      <formula>NOT(ISERROR(SEARCH("samedi",B20)))</formula>
    </cfRule>
  </conditionalFormatting>
  <conditionalFormatting sqref="C20">
    <cfRule type="timePeriod" dxfId="256" priority="255" timePeriod="today">
      <formula>FLOOR(C20,1)=TODAY()</formula>
    </cfRule>
  </conditionalFormatting>
  <conditionalFormatting sqref="A20:J20">
    <cfRule type="expression" dxfId="255" priority="262">
      <formula>COUNTIF($O$4:$O$16,$A20)=1</formula>
    </cfRule>
  </conditionalFormatting>
  <conditionalFormatting sqref="A20 C20">
    <cfRule type="expression" dxfId="254" priority="261">
      <formula>(A20&lt;&gt;"")*(WEEKDAY(A20,2)&gt;5)</formula>
    </cfRule>
  </conditionalFormatting>
  <conditionalFormatting sqref="I20 F20">
    <cfRule type="cellIs" dxfId="253" priority="254" operator="notEqual">
      <formula>0</formula>
    </cfRule>
  </conditionalFormatting>
  <conditionalFormatting sqref="D21">
    <cfRule type="expression" dxfId="252" priority="251">
      <formula>$C17=aujourdhui</formula>
    </cfRule>
  </conditionalFormatting>
  <conditionalFormatting sqref="D21 G21">
    <cfRule type="containsText" dxfId="251" priority="250" operator="containsText" text="CT">
      <formula>NOT(ISERROR(SEARCH("CT",D21)))</formula>
    </cfRule>
  </conditionalFormatting>
  <conditionalFormatting sqref="D21 F21:I21">
    <cfRule type="containsText" dxfId="250" priority="249" operator="containsText" text="CP">
      <formula>NOT(ISERROR(SEARCH("CP",D21)))</formula>
    </cfRule>
  </conditionalFormatting>
  <conditionalFormatting sqref="J21">
    <cfRule type="cellIs" dxfId="249" priority="248" operator="greaterThan">
      <formula>0</formula>
    </cfRule>
  </conditionalFormatting>
  <conditionalFormatting sqref="B21">
    <cfRule type="containsText" dxfId="248" priority="246" operator="containsText" text="dimanche">
      <formula>NOT(ISERROR(SEARCH("dimanche",B21)))</formula>
    </cfRule>
    <cfRule type="containsText" dxfId="247" priority="247" operator="containsText" text="samedi">
      <formula>NOT(ISERROR(SEARCH("samedi",B21)))</formula>
    </cfRule>
  </conditionalFormatting>
  <conditionalFormatting sqref="C21">
    <cfRule type="timePeriod" dxfId="246" priority="245" timePeriod="today">
      <formula>FLOOR(C21,1)=TODAY()</formula>
    </cfRule>
  </conditionalFormatting>
  <conditionalFormatting sqref="A21:J21">
    <cfRule type="expression" dxfId="245" priority="253">
      <formula>COUNTIF($O$4:$O$16,$A21)=1</formula>
    </cfRule>
  </conditionalFormatting>
  <conditionalFormatting sqref="A21 C21">
    <cfRule type="expression" dxfId="244" priority="252">
      <formula>(A21&lt;&gt;"")*(WEEKDAY(A21,2)&gt;5)</formula>
    </cfRule>
  </conditionalFormatting>
  <conditionalFormatting sqref="I21 F21">
    <cfRule type="cellIs" dxfId="243" priority="244" operator="notEqual">
      <formula>0</formula>
    </cfRule>
  </conditionalFormatting>
  <conditionalFormatting sqref="D22:G22">
    <cfRule type="containsText" dxfId="242" priority="241" operator="containsText" text="CT">
      <formula>NOT(ISERROR(SEARCH("CT",D22)))</formula>
    </cfRule>
  </conditionalFormatting>
  <conditionalFormatting sqref="D22:I22">
    <cfRule type="containsText" dxfId="241" priority="240" operator="containsText" text="CP">
      <formula>NOT(ISERROR(SEARCH("CP",D22)))</formula>
    </cfRule>
  </conditionalFormatting>
  <conditionalFormatting sqref="J22">
    <cfRule type="cellIs" dxfId="240" priority="239" operator="greaterThan">
      <formula>0</formula>
    </cfRule>
  </conditionalFormatting>
  <conditionalFormatting sqref="B22">
    <cfRule type="containsText" dxfId="239" priority="237" operator="containsText" text="dimanche">
      <formula>NOT(ISERROR(SEARCH("dimanche",B22)))</formula>
    </cfRule>
    <cfRule type="containsText" dxfId="238" priority="238" operator="containsText" text="samedi">
      <formula>NOT(ISERROR(SEARCH("samedi",B22)))</formula>
    </cfRule>
  </conditionalFormatting>
  <conditionalFormatting sqref="C22">
    <cfRule type="timePeriod" dxfId="237" priority="236" timePeriod="today">
      <formula>FLOOR(C22,1)=TODAY()</formula>
    </cfRule>
  </conditionalFormatting>
  <conditionalFormatting sqref="A22:J22">
    <cfRule type="expression" dxfId="236" priority="243">
      <formula>COUNTIF($O$4:$O$16,$A22)=1</formula>
    </cfRule>
  </conditionalFormatting>
  <conditionalFormatting sqref="A22 C22">
    <cfRule type="expression" dxfId="235" priority="242">
      <formula>(A22&lt;&gt;"")*(WEEKDAY(A22,2)&gt;5)</formula>
    </cfRule>
  </conditionalFormatting>
  <conditionalFormatting sqref="I22 F22">
    <cfRule type="cellIs" dxfId="234" priority="235" operator="notEqual">
      <formula>0</formula>
    </cfRule>
  </conditionalFormatting>
  <conditionalFormatting sqref="D23:G23">
    <cfRule type="containsText" dxfId="233" priority="232" operator="containsText" text="CT">
      <formula>NOT(ISERROR(SEARCH("CT",D23)))</formula>
    </cfRule>
  </conditionalFormatting>
  <conditionalFormatting sqref="D23:I23">
    <cfRule type="containsText" dxfId="232" priority="231" operator="containsText" text="CP">
      <formula>NOT(ISERROR(SEARCH("CP",D23)))</formula>
    </cfRule>
  </conditionalFormatting>
  <conditionalFormatting sqref="J23">
    <cfRule type="cellIs" dxfId="231" priority="230" operator="greaterThan">
      <formula>0</formula>
    </cfRule>
  </conditionalFormatting>
  <conditionalFormatting sqref="B23">
    <cfRule type="containsText" dxfId="230" priority="228" operator="containsText" text="dimanche">
      <formula>NOT(ISERROR(SEARCH("dimanche",B23)))</formula>
    </cfRule>
    <cfRule type="containsText" dxfId="229" priority="229" operator="containsText" text="samedi">
      <formula>NOT(ISERROR(SEARCH("samedi",B23)))</formula>
    </cfRule>
  </conditionalFormatting>
  <conditionalFormatting sqref="C23">
    <cfRule type="timePeriod" dxfId="228" priority="227" timePeriod="today">
      <formula>FLOOR(C23,1)=TODAY()</formula>
    </cfRule>
  </conditionalFormatting>
  <conditionalFormatting sqref="A23:J23">
    <cfRule type="expression" dxfId="227" priority="234">
      <formula>COUNTIF($O$4:$O$16,$A23)=1</formula>
    </cfRule>
  </conditionalFormatting>
  <conditionalFormatting sqref="A23 C23">
    <cfRule type="expression" dxfId="226" priority="233">
      <formula>(A23&lt;&gt;"")*(WEEKDAY(A23,2)&gt;5)</formula>
    </cfRule>
  </conditionalFormatting>
  <conditionalFormatting sqref="I23 F23">
    <cfRule type="cellIs" dxfId="225" priority="226" operator="notEqual">
      <formula>0</formula>
    </cfRule>
  </conditionalFormatting>
  <conditionalFormatting sqref="D24:G24">
    <cfRule type="containsText" dxfId="224" priority="223" operator="containsText" text="CT">
      <formula>NOT(ISERROR(SEARCH("CT",D24)))</formula>
    </cfRule>
  </conditionalFormatting>
  <conditionalFormatting sqref="D24:I24">
    <cfRule type="containsText" dxfId="223" priority="222" operator="containsText" text="CP">
      <formula>NOT(ISERROR(SEARCH("CP",D24)))</formula>
    </cfRule>
  </conditionalFormatting>
  <conditionalFormatting sqref="J24">
    <cfRule type="cellIs" dxfId="222" priority="221" operator="greaterThan">
      <formula>0</formula>
    </cfRule>
  </conditionalFormatting>
  <conditionalFormatting sqref="B24">
    <cfRule type="containsText" dxfId="221" priority="219" operator="containsText" text="dimanche">
      <formula>NOT(ISERROR(SEARCH("dimanche",B24)))</formula>
    </cfRule>
    <cfRule type="containsText" dxfId="220" priority="220" operator="containsText" text="samedi">
      <formula>NOT(ISERROR(SEARCH("samedi",B24)))</formula>
    </cfRule>
  </conditionalFormatting>
  <conditionalFormatting sqref="C24">
    <cfRule type="timePeriod" dxfId="219" priority="218" timePeriod="today">
      <formula>FLOOR(C24,1)=TODAY()</formula>
    </cfRule>
  </conditionalFormatting>
  <conditionalFormatting sqref="A24:J24">
    <cfRule type="expression" dxfId="218" priority="225">
      <formula>COUNTIF($O$4:$O$16,$A24)=1</formula>
    </cfRule>
  </conditionalFormatting>
  <conditionalFormatting sqref="A24 C24">
    <cfRule type="expression" dxfId="217" priority="224">
      <formula>(A24&lt;&gt;"")*(WEEKDAY(A24,2)&gt;5)</formula>
    </cfRule>
  </conditionalFormatting>
  <conditionalFormatting sqref="I24 F24">
    <cfRule type="cellIs" dxfId="216" priority="217" operator="notEqual">
      <formula>0</formula>
    </cfRule>
  </conditionalFormatting>
  <conditionalFormatting sqref="D25:G25">
    <cfRule type="containsText" dxfId="215" priority="214" operator="containsText" text="CT">
      <formula>NOT(ISERROR(SEARCH("CT",D25)))</formula>
    </cfRule>
  </conditionalFormatting>
  <conditionalFormatting sqref="D25:I25">
    <cfRule type="containsText" dxfId="214" priority="213" operator="containsText" text="CP">
      <formula>NOT(ISERROR(SEARCH("CP",D25)))</formula>
    </cfRule>
  </conditionalFormatting>
  <conditionalFormatting sqref="J25">
    <cfRule type="cellIs" dxfId="213" priority="212" operator="greaterThan">
      <formula>0</formula>
    </cfRule>
  </conditionalFormatting>
  <conditionalFormatting sqref="B25">
    <cfRule type="containsText" dxfId="212" priority="210" operator="containsText" text="dimanche">
      <formula>NOT(ISERROR(SEARCH("dimanche",B25)))</formula>
    </cfRule>
    <cfRule type="containsText" dxfId="211" priority="211" operator="containsText" text="samedi">
      <formula>NOT(ISERROR(SEARCH("samedi",B25)))</formula>
    </cfRule>
  </conditionalFormatting>
  <conditionalFormatting sqref="C25">
    <cfRule type="timePeriod" dxfId="210" priority="209" timePeriod="today">
      <formula>FLOOR(C25,1)=TODAY()</formula>
    </cfRule>
  </conditionalFormatting>
  <conditionalFormatting sqref="A25:J25">
    <cfRule type="expression" dxfId="209" priority="216">
      <formula>COUNTIF($O$4:$O$16,$A25)=1</formula>
    </cfRule>
  </conditionalFormatting>
  <conditionalFormatting sqref="A25 C25">
    <cfRule type="expression" dxfId="208" priority="215">
      <formula>(A25&lt;&gt;"")*(WEEKDAY(A25,2)&gt;5)</formula>
    </cfRule>
  </conditionalFormatting>
  <conditionalFormatting sqref="I25 F25">
    <cfRule type="cellIs" dxfId="207" priority="208" operator="notEqual">
      <formula>0</formula>
    </cfRule>
  </conditionalFormatting>
  <conditionalFormatting sqref="D26:G26">
    <cfRule type="containsText" dxfId="206" priority="205" operator="containsText" text="CT">
      <formula>NOT(ISERROR(SEARCH("CT",D26)))</formula>
    </cfRule>
  </conditionalFormatting>
  <conditionalFormatting sqref="D26:I26">
    <cfRule type="containsText" dxfId="205" priority="204" operator="containsText" text="CP">
      <formula>NOT(ISERROR(SEARCH("CP",D26)))</formula>
    </cfRule>
  </conditionalFormatting>
  <conditionalFormatting sqref="J26">
    <cfRule type="cellIs" dxfId="204" priority="203" operator="greaterThan">
      <formula>0</formula>
    </cfRule>
  </conditionalFormatting>
  <conditionalFormatting sqref="B26">
    <cfRule type="containsText" dxfId="203" priority="201" operator="containsText" text="dimanche">
      <formula>NOT(ISERROR(SEARCH("dimanche",B26)))</formula>
    </cfRule>
    <cfRule type="containsText" dxfId="202" priority="202" operator="containsText" text="samedi">
      <formula>NOT(ISERROR(SEARCH("samedi",B26)))</formula>
    </cfRule>
  </conditionalFormatting>
  <conditionalFormatting sqref="C26">
    <cfRule type="timePeriod" dxfId="201" priority="200" timePeriod="today">
      <formula>FLOOR(C26,1)=TODAY()</formula>
    </cfRule>
  </conditionalFormatting>
  <conditionalFormatting sqref="A26:J26">
    <cfRule type="expression" dxfId="200" priority="207">
      <formula>COUNTIF($O$4:$O$16,$A26)=1</formula>
    </cfRule>
  </conditionalFormatting>
  <conditionalFormatting sqref="A26 C26">
    <cfRule type="expression" dxfId="199" priority="206">
      <formula>(A26&lt;&gt;"")*(WEEKDAY(A26,2)&gt;5)</formula>
    </cfRule>
  </conditionalFormatting>
  <conditionalFormatting sqref="I26 F26">
    <cfRule type="cellIs" dxfId="198" priority="199" operator="notEqual">
      <formula>0</formula>
    </cfRule>
  </conditionalFormatting>
  <conditionalFormatting sqref="D27 G27">
    <cfRule type="containsText" dxfId="197" priority="196" operator="containsText" text="CT">
      <formula>NOT(ISERROR(SEARCH("CT",D27)))</formula>
    </cfRule>
  </conditionalFormatting>
  <conditionalFormatting sqref="L27 D27 G27:I27">
    <cfRule type="containsText" dxfId="196" priority="195" operator="containsText" text="CP">
      <formula>NOT(ISERROR(SEARCH("CP",D27)))</formula>
    </cfRule>
  </conditionalFormatting>
  <conditionalFormatting sqref="J27">
    <cfRule type="cellIs" dxfId="195" priority="194" operator="greaterThan">
      <formula>0</formula>
    </cfRule>
  </conditionalFormatting>
  <conditionalFormatting sqref="B27">
    <cfRule type="containsText" dxfId="194" priority="192" operator="containsText" text="dimanche">
      <formula>NOT(ISERROR(SEARCH("dimanche",B27)))</formula>
    </cfRule>
    <cfRule type="containsText" dxfId="193" priority="193" operator="containsText" text="samedi">
      <formula>NOT(ISERROR(SEARCH("samedi",B27)))</formula>
    </cfRule>
  </conditionalFormatting>
  <conditionalFormatting sqref="C27">
    <cfRule type="timePeriod" dxfId="192" priority="191" timePeriod="today">
      <formula>FLOOR(C27,1)=TODAY()</formula>
    </cfRule>
  </conditionalFormatting>
  <conditionalFormatting sqref="A27:J27">
    <cfRule type="expression" dxfId="191" priority="198">
      <formula>COUNTIF($O$4:$O$16,$A27)=1</formula>
    </cfRule>
  </conditionalFormatting>
  <conditionalFormatting sqref="A27 C27">
    <cfRule type="expression" dxfId="190" priority="197">
      <formula>(A27&lt;&gt;"")*(WEEKDAY(A27,2)&gt;5)</formula>
    </cfRule>
  </conditionalFormatting>
  <conditionalFormatting sqref="I27 F27">
    <cfRule type="cellIs" dxfId="189" priority="190" operator="notEqual">
      <formula>0</formula>
    </cfRule>
  </conditionalFormatting>
  <conditionalFormatting sqref="D28 G28">
    <cfRule type="containsText" dxfId="188" priority="187" operator="containsText" text="CT">
      <formula>NOT(ISERROR(SEARCH("CT",D28)))</formula>
    </cfRule>
  </conditionalFormatting>
  <conditionalFormatting sqref="D28 F28:I28">
    <cfRule type="containsText" dxfId="187" priority="186" operator="containsText" text="CP">
      <formula>NOT(ISERROR(SEARCH("CP",D28)))</formula>
    </cfRule>
  </conditionalFormatting>
  <conditionalFormatting sqref="J28">
    <cfRule type="cellIs" dxfId="186" priority="185" operator="greaterThan">
      <formula>0</formula>
    </cfRule>
  </conditionalFormatting>
  <conditionalFormatting sqref="B28">
    <cfRule type="containsText" dxfId="185" priority="183" operator="containsText" text="dimanche">
      <formula>NOT(ISERROR(SEARCH("dimanche",B28)))</formula>
    </cfRule>
    <cfRule type="containsText" dxfId="184" priority="184" operator="containsText" text="samedi">
      <formula>NOT(ISERROR(SEARCH("samedi",B28)))</formula>
    </cfRule>
  </conditionalFormatting>
  <conditionalFormatting sqref="C28">
    <cfRule type="timePeriod" dxfId="183" priority="182" timePeriod="today">
      <formula>FLOOR(C28,1)=TODAY()</formula>
    </cfRule>
  </conditionalFormatting>
  <conditionalFormatting sqref="A28:J28">
    <cfRule type="expression" dxfId="182" priority="189">
      <formula>COUNTIF($O$4:$O$16,$A28)=1</formula>
    </cfRule>
  </conditionalFormatting>
  <conditionalFormatting sqref="A28 C28">
    <cfRule type="expression" dxfId="181" priority="188">
      <formula>(A28&lt;&gt;"")*(WEEKDAY(A28,2)&gt;5)</formula>
    </cfRule>
  </conditionalFormatting>
  <conditionalFormatting sqref="I28 F28">
    <cfRule type="cellIs" dxfId="180" priority="181" operator="notEqual">
      <formula>0</formula>
    </cfRule>
  </conditionalFormatting>
  <conditionalFormatting sqref="D29:G29">
    <cfRule type="containsText" dxfId="179" priority="178" operator="containsText" text="CT">
      <formula>NOT(ISERROR(SEARCH("CT",D29)))</formula>
    </cfRule>
  </conditionalFormatting>
  <conditionalFormatting sqref="D29:I29">
    <cfRule type="containsText" dxfId="178" priority="177" operator="containsText" text="CP">
      <formula>NOT(ISERROR(SEARCH("CP",D29)))</formula>
    </cfRule>
  </conditionalFormatting>
  <conditionalFormatting sqref="J29">
    <cfRule type="cellIs" dxfId="177" priority="176" operator="greaterThan">
      <formula>0</formula>
    </cfRule>
  </conditionalFormatting>
  <conditionalFormatting sqref="B29">
    <cfRule type="containsText" dxfId="176" priority="174" operator="containsText" text="dimanche">
      <formula>NOT(ISERROR(SEARCH("dimanche",B29)))</formula>
    </cfRule>
    <cfRule type="containsText" dxfId="175" priority="175" operator="containsText" text="samedi">
      <formula>NOT(ISERROR(SEARCH("samedi",B29)))</formula>
    </cfRule>
  </conditionalFormatting>
  <conditionalFormatting sqref="C29">
    <cfRule type="timePeriod" dxfId="174" priority="173" timePeriod="today">
      <formula>FLOOR(C29,1)=TODAY()</formula>
    </cfRule>
  </conditionalFormatting>
  <conditionalFormatting sqref="A29:J29">
    <cfRule type="expression" dxfId="173" priority="180">
      <formula>COUNTIF($O$4:$O$16,$A29)=1</formula>
    </cfRule>
  </conditionalFormatting>
  <conditionalFormatting sqref="A29 C29">
    <cfRule type="expression" dxfId="172" priority="179">
      <formula>(A29&lt;&gt;"")*(WEEKDAY(A29,2)&gt;5)</formula>
    </cfRule>
  </conditionalFormatting>
  <conditionalFormatting sqref="I29 F29">
    <cfRule type="cellIs" dxfId="171" priority="172" operator="notEqual">
      <formula>0</formula>
    </cfRule>
  </conditionalFormatting>
  <conditionalFormatting sqref="D30:G30">
    <cfRule type="containsText" dxfId="170" priority="169" operator="containsText" text="CT">
      <formula>NOT(ISERROR(SEARCH("CT",D30)))</formula>
    </cfRule>
  </conditionalFormatting>
  <conditionalFormatting sqref="D30:I30">
    <cfRule type="containsText" dxfId="169" priority="168" operator="containsText" text="CP">
      <formula>NOT(ISERROR(SEARCH("CP",D30)))</formula>
    </cfRule>
  </conditionalFormatting>
  <conditionalFormatting sqref="J30">
    <cfRule type="cellIs" dxfId="168" priority="167" operator="greaterThan">
      <formula>0</formula>
    </cfRule>
  </conditionalFormatting>
  <conditionalFormatting sqref="B30">
    <cfRule type="containsText" dxfId="167" priority="165" operator="containsText" text="dimanche">
      <formula>NOT(ISERROR(SEARCH("dimanche",B30)))</formula>
    </cfRule>
    <cfRule type="containsText" dxfId="166" priority="166" operator="containsText" text="samedi">
      <formula>NOT(ISERROR(SEARCH("samedi",B30)))</formula>
    </cfRule>
  </conditionalFormatting>
  <conditionalFormatting sqref="C30">
    <cfRule type="timePeriod" dxfId="165" priority="164" timePeriod="today">
      <formula>FLOOR(C30,1)=TODAY()</formula>
    </cfRule>
  </conditionalFormatting>
  <conditionalFormatting sqref="A30:J30">
    <cfRule type="expression" dxfId="164" priority="171">
      <formula>COUNTIF($O$4:$O$16,$A30)=1</formula>
    </cfRule>
  </conditionalFormatting>
  <conditionalFormatting sqref="A30 C30">
    <cfRule type="expression" dxfId="163" priority="170">
      <formula>(A30&lt;&gt;"")*(WEEKDAY(A30,2)&gt;5)</formula>
    </cfRule>
  </conditionalFormatting>
  <conditionalFormatting sqref="I30 F30">
    <cfRule type="cellIs" dxfId="162" priority="163" operator="notEqual">
      <formula>0</formula>
    </cfRule>
  </conditionalFormatting>
  <conditionalFormatting sqref="D31:G31">
    <cfRule type="containsText" dxfId="161" priority="160" operator="containsText" text="CT">
      <formula>NOT(ISERROR(SEARCH("CT",D31)))</formula>
    </cfRule>
  </conditionalFormatting>
  <conditionalFormatting sqref="D31:I31">
    <cfRule type="containsText" dxfId="160" priority="159" operator="containsText" text="CP">
      <formula>NOT(ISERROR(SEARCH("CP",D31)))</formula>
    </cfRule>
  </conditionalFormatting>
  <conditionalFormatting sqref="J31">
    <cfRule type="cellIs" dxfId="159" priority="158" operator="greaterThan">
      <formula>0</formula>
    </cfRule>
  </conditionalFormatting>
  <conditionalFormatting sqref="B31">
    <cfRule type="containsText" dxfId="158" priority="156" operator="containsText" text="dimanche">
      <formula>NOT(ISERROR(SEARCH("dimanche",B31)))</formula>
    </cfRule>
    <cfRule type="containsText" dxfId="157" priority="157" operator="containsText" text="samedi">
      <formula>NOT(ISERROR(SEARCH("samedi",B31)))</formula>
    </cfRule>
  </conditionalFormatting>
  <conditionalFormatting sqref="C31">
    <cfRule type="timePeriod" dxfId="156" priority="155" timePeriod="today">
      <formula>FLOOR(C31,1)=TODAY()</formula>
    </cfRule>
  </conditionalFormatting>
  <conditionalFormatting sqref="A31:J31">
    <cfRule type="expression" dxfId="155" priority="162">
      <formula>COUNTIF($O$4:$O$16,$A31)=1</formula>
    </cfRule>
  </conditionalFormatting>
  <conditionalFormatting sqref="A31 C31">
    <cfRule type="expression" dxfId="154" priority="161">
      <formula>(A31&lt;&gt;"")*(WEEKDAY(A31,2)&gt;5)</formula>
    </cfRule>
  </conditionalFormatting>
  <conditionalFormatting sqref="I31 F31">
    <cfRule type="cellIs" dxfId="153" priority="154" operator="notEqual">
      <formula>0</formula>
    </cfRule>
  </conditionalFormatting>
  <conditionalFormatting sqref="D32:G32">
    <cfRule type="containsText" dxfId="152" priority="151" operator="containsText" text="CT">
      <formula>NOT(ISERROR(SEARCH("CT",D32)))</formula>
    </cfRule>
  </conditionalFormatting>
  <conditionalFormatting sqref="D32:I32">
    <cfRule type="containsText" dxfId="151" priority="150" operator="containsText" text="CP">
      <formula>NOT(ISERROR(SEARCH("CP",D32)))</formula>
    </cfRule>
  </conditionalFormatting>
  <conditionalFormatting sqref="J32">
    <cfRule type="cellIs" dxfId="150" priority="149" operator="greaterThan">
      <formula>0</formula>
    </cfRule>
  </conditionalFormatting>
  <conditionalFormatting sqref="B32">
    <cfRule type="containsText" dxfId="149" priority="147" operator="containsText" text="dimanche">
      <formula>NOT(ISERROR(SEARCH("dimanche",B32)))</formula>
    </cfRule>
    <cfRule type="containsText" dxfId="148" priority="148" operator="containsText" text="samedi">
      <formula>NOT(ISERROR(SEARCH("samedi",B32)))</formula>
    </cfRule>
  </conditionalFormatting>
  <conditionalFormatting sqref="C32">
    <cfRule type="timePeriod" dxfId="147" priority="146" timePeriod="today">
      <formula>FLOOR(C32,1)=TODAY()</formula>
    </cfRule>
  </conditionalFormatting>
  <conditionalFormatting sqref="A32:J32">
    <cfRule type="expression" dxfId="146" priority="153">
      <formula>COUNTIF($O$4:$O$16,$A32)=1</formula>
    </cfRule>
  </conditionalFormatting>
  <conditionalFormatting sqref="A32 C32">
    <cfRule type="expression" dxfId="145" priority="152">
      <formula>(A32&lt;&gt;"")*(WEEKDAY(A32,2)&gt;5)</formula>
    </cfRule>
  </conditionalFormatting>
  <conditionalFormatting sqref="I32 F32">
    <cfRule type="cellIs" dxfId="144" priority="145" operator="notEqual">
      <formula>0</formula>
    </cfRule>
  </conditionalFormatting>
  <conditionalFormatting sqref="D33:G33">
    <cfRule type="containsText" dxfId="143" priority="142" operator="containsText" text="CT">
      <formula>NOT(ISERROR(SEARCH("CT",D33)))</formula>
    </cfRule>
  </conditionalFormatting>
  <conditionalFormatting sqref="D33:I33">
    <cfRule type="containsText" dxfId="142" priority="141" operator="containsText" text="CP">
      <formula>NOT(ISERROR(SEARCH("CP",D33)))</formula>
    </cfRule>
  </conditionalFormatting>
  <conditionalFormatting sqref="J33">
    <cfRule type="cellIs" dxfId="141" priority="140" operator="greaterThan">
      <formula>0</formula>
    </cfRule>
  </conditionalFormatting>
  <conditionalFormatting sqref="B33">
    <cfRule type="containsText" dxfId="140" priority="138" operator="containsText" text="dimanche">
      <formula>NOT(ISERROR(SEARCH("dimanche",B33)))</formula>
    </cfRule>
    <cfRule type="containsText" dxfId="139" priority="139" operator="containsText" text="samedi">
      <formula>NOT(ISERROR(SEARCH("samedi",B33)))</formula>
    </cfRule>
  </conditionalFormatting>
  <conditionalFormatting sqref="C33">
    <cfRule type="timePeriod" dxfId="138" priority="137" timePeriod="today">
      <formula>FLOOR(C33,1)=TODAY()</formula>
    </cfRule>
  </conditionalFormatting>
  <conditionalFormatting sqref="A33:J33">
    <cfRule type="expression" dxfId="137" priority="144">
      <formula>COUNTIF($O$4:$O$16,$A33)=1</formula>
    </cfRule>
  </conditionalFormatting>
  <conditionalFormatting sqref="A33 C33">
    <cfRule type="expression" dxfId="136" priority="143">
      <formula>(A33&lt;&gt;"")*(WEEKDAY(A33,2)&gt;5)</formula>
    </cfRule>
  </conditionalFormatting>
  <conditionalFormatting sqref="I33 F33">
    <cfRule type="cellIs" dxfId="135" priority="136" operator="notEqual">
      <formula>0</formula>
    </cfRule>
  </conditionalFormatting>
  <conditionalFormatting sqref="D34 G34">
    <cfRule type="containsText" dxfId="134" priority="133" operator="containsText" text="CT">
      <formula>NOT(ISERROR(SEARCH("CT",D34)))</formula>
    </cfRule>
  </conditionalFormatting>
  <conditionalFormatting sqref="D34 G34:I34">
    <cfRule type="containsText" dxfId="133" priority="132" operator="containsText" text="CP">
      <formula>NOT(ISERROR(SEARCH("CP",D34)))</formula>
    </cfRule>
  </conditionalFormatting>
  <conditionalFormatting sqref="J34">
    <cfRule type="cellIs" dxfId="132" priority="131" operator="greaterThan">
      <formula>0</formula>
    </cfRule>
  </conditionalFormatting>
  <conditionalFormatting sqref="B34">
    <cfRule type="containsText" dxfId="131" priority="129" operator="containsText" text="dimanche">
      <formula>NOT(ISERROR(SEARCH("dimanche",B34)))</formula>
    </cfRule>
    <cfRule type="containsText" dxfId="130" priority="130" operator="containsText" text="samedi">
      <formula>NOT(ISERROR(SEARCH("samedi",B34)))</formula>
    </cfRule>
  </conditionalFormatting>
  <conditionalFormatting sqref="C34">
    <cfRule type="timePeriod" dxfId="129" priority="128" timePeriod="today">
      <formula>FLOOR(C34,1)=TODAY()</formula>
    </cfRule>
  </conditionalFormatting>
  <conditionalFormatting sqref="A34:J34">
    <cfRule type="expression" dxfId="128" priority="135">
      <formula>COUNTIF($O$4:$O$16,$A34)=1</formula>
    </cfRule>
  </conditionalFormatting>
  <conditionalFormatting sqref="A34 C34">
    <cfRule type="expression" dxfId="127" priority="134">
      <formula>(A34&lt;&gt;"")*(WEEKDAY(A34,2)&gt;5)</formula>
    </cfRule>
  </conditionalFormatting>
  <conditionalFormatting sqref="I34 F34">
    <cfRule type="cellIs" dxfId="126" priority="127" operator="notEqual">
      <formula>0</formula>
    </cfRule>
  </conditionalFormatting>
  <conditionalFormatting sqref="D35 G35">
    <cfRule type="containsText" dxfId="125" priority="124" operator="containsText" text="CT">
      <formula>NOT(ISERROR(SEARCH("CT",D35)))</formula>
    </cfRule>
  </conditionalFormatting>
  <conditionalFormatting sqref="D35 F35:I35">
    <cfRule type="containsText" dxfId="124" priority="123" operator="containsText" text="CP">
      <formula>NOT(ISERROR(SEARCH("CP",D35)))</formula>
    </cfRule>
  </conditionalFormatting>
  <conditionalFormatting sqref="J35">
    <cfRule type="cellIs" dxfId="123" priority="122" operator="greaterThan">
      <formula>0</formula>
    </cfRule>
  </conditionalFormatting>
  <conditionalFormatting sqref="B35">
    <cfRule type="containsText" dxfId="122" priority="120" operator="containsText" text="dimanche">
      <formula>NOT(ISERROR(SEARCH("dimanche",B35)))</formula>
    </cfRule>
    <cfRule type="containsText" dxfId="121" priority="121" operator="containsText" text="samedi">
      <formula>NOT(ISERROR(SEARCH("samedi",B35)))</formula>
    </cfRule>
  </conditionalFormatting>
  <conditionalFormatting sqref="C35">
    <cfRule type="timePeriod" dxfId="120" priority="119" timePeriod="today">
      <formula>FLOOR(C35,1)=TODAY()</formula>
    </cfRule>
  </conditionalFormatting>
  <conditionalFormatting sqref="A35:J35">
    <cfRule type="expression" dxfId="119" priority="126">
      <formula>COUNTIF($O$4:$O$16,$A35)=1</formula>
    </cfRule>
  </conditionalFormatting>
  <conditionalFormatting sqref="A35 C35">
    <cfRule type="expression" dxfId="118" priority="125">
      <formula>(A35&lt;&gt;"")*(WEEKDAY(A35,2)&gt;5)</formula>
    </cfRule>
  </conditionalFormatting>
  <conditionalFormatting sqref="I35 F35">
    <cfRule type="cellIs" dxfId="117" priority="118" operator="notEqual">
      <formula>0</formula>
    </cfRule>
  </conditionalFormatting>
  <conditionalFormatting sqref="D36:G36">
    <cfRule type="containsText" dxfId="116" priority="115" operator="containsText" text="CT">
      <formula>NOT(ISERROR(SEARCH("CT",D36)))</formula>
    </cfRule>
  </conditionalFormatting>
  <conditionalFormatting sqref="D36:I36">
    <cfRule type="containsText" dxfId="115" priority="114" operator="containsText" text="CP">
      <formula>NOT(ISERROR(SEARCH("CP",D36)))</formula>
    </cfRule>
  </conditionalFormatting>
  <conditionalFormatting sqref="J36">
    <cfRule type="cellIs" dxfId="114" priority="113" operator="greaterThan">
      <formula>0</formula>
    </cfRule>
  </conditionalFormatting>
  <conditionalFormatting sqref="B36">
    <cfRule type="containsText" dxfId="113" priority="111" operator="containsText" text="dimanche">
      <formula>NOT(ISERROR(SEARCH("dimanche",B36)))</formula>
    </cfRule>
    <cfRule type="containsText" dxfId="112" priority="112" operator="containsText" text="samedi">
      <formula>NOT(ISERROR(SEARCH("samedi",B36)))</formula>
    </cfRule>
  </conditionalFormatting>
  <conditionalFormatting sqref="C36">
    <cfRule type="timePeriod" dxfId="111" priority="110" timePeriod="today">
      <formula>FLOOR(C36,1)=TODAY()</formula>
    </cfRule>
  </conditionalFormatting>
  <conditionalFormatting sqref="A36:J36">
    <cfRule type="expression" dxfId="110" priority="117">
      <formula>COUNTIF($O$4:$O$16,$A36)=1</formula>
    </cfRule>
  </conditionalFormatting>
  <conditionalFormatting sqref="A36 C36">
    <cfRule type="expression" dxfId="109" priority="116">
      <formula>(A36&lt;&gt;"")*(WEEKDAY(A36,2)&gt;5)</formula>
    </cfRule>
  </conditionalFormatting>
  <conditionalFormatting sqref="I36 F36">
    <cfRule type="cellIs" dxfId="108" priority="109" operator="notEqual">
      <formula>0</formula>
    </cfRule>
  </conditionalFormatting>
  <conditionalFormatting sqref="D37:G37">
    <cfRule type="containsText" dxfId="107" priority="106" operator="containsText" text="CT">
      <formula>NOT(ISERROR(SEARCH("CT",D37)))</formula>
    </cfRule>
  </conditionalFormatting>
  <conditionalFormatting sqref="D37:I37">
    <cfRule type="containsText" dxfId="106" priority="105" operator="containsText" text="CP">
      <formula>NOT(ISERROR(SEARCH("CP",D37)))</formula>
    </cfRule>
  </conditionalFormatting>
  <conditionalFormatting sqref="J37">
    <cfRule type="cellIs" dxfId="105" priority="104" operator="greaterThan">
      <formula>0</formula>
    </cfRule>
  </conditionalFormatting>
  <conditionalFormatting sqref="B37">
    <cfRule type="containsText" dxfId="104" priority="102" operator="containsText" text="dimanche">
      <formula>NOT(ISERROR(SEARCH("dimanche",B37)))</formula>
    </cfRule>
    <cfRule type="containsText" dxfId="103" priority="103" operator="containsText" text="samedi">
      <formula>NOT(ISERROR(SEARCH("samedi",B37)))</formula>
    </cfRule>
  </conditionalFormatting>
  <conditionalFormatting sqref="C37">
    <cfRule type="timePeriod" dxfId="102" priority="101" timePeriod="today">
      <formula>FLOOR(C37,1)=TODAY()</formula>
    </cfRule>
  </conditionalFormatting>
  <conditionalFormatting sqref="A37:J37">
    <cfRule type="expression" dxfId="101" priority="108">
      <formula>COUNTIF($O$4:$O$16,$A37)=1</formula>
    </cfRule>
  </conditionalFormatting>
  <conditionalFormatting sqref="A37 C37">
    <cfRule type="expression" dxfId="100" priority="107">
      <formula>(A37&lt;&gt;"")*(WEEKDAY(A37,2)&gt;5)</formula>
    </cfRule>
  </conditionalFormatting>
  <conditionalFormatting sqref="I37 F37">
    <cfRule type="cellIs" dxfId="99" priority="100" operator="notEqual">
      <formula>0</formula>
    </cfRule>
  </conditionalFormatting>
  <conditionalFormatting sqref="D38:G38">
    <cfRule type="containsText" dxfId="98" priority="97" operator="containsText" text="CT">
      <formula>NOT(ISERROR(SEARCH("CT",D38)))</formula>
    </cfRule>
  </conditionalFormatting>
  <conditionalFormatting sqref="D38:I38">
    <cfRule type="containsText" dxfId="97" priority="96" operator="containsText" text="CP">
      <formula>NOT(ISERROR(SEARCH("CP",D38)))</formula>
    </cfRule>
  </conditionalFormatting>
  <conditionalFormatting sqref="J38">
    <cfRule type="cellIs" dxfId="96" priority="95" operator="greaterThan">
      <formula>0</formula>
    </cfRule>
  </conditionalFormatting>
  <conditionalFormatting sqref="B38">
    <cfRule type="containsText" dxfId="95" priority="93" operator="containsText" text="dimanche">
      <formula>NOT(ISERROR(SEARCH("dimanche",B38)))</formula>
    </cfRule>
    <cfRule type="containsText" dxfId="94" priority="94" operator="containsText" text="samedi">
      <formula>NOT(ISERROR(SEARCH("samedi",B38)))</formula>
    </cfRule>
  </conditionalFormatting>
  <conditionalFormatting sqref="C38">
    <cfRule type="timePeriod" dxfId="93" priority="92" timePeriod="today">
      <formula>FLOOR(C38,1)=TODAY()</formula>
    </cfRule>
  </conditionalFormatting>
  <conditionalFormatting sqref="A38:J38">
    <cfRule type="expression" dxfId="92" priority="99">
      <formula>COUNTIF($O$4:$O$16,$A38)=1</formula>
    </cfRule>
  </conditionalFormatting>
  <conditionalFormatting sqref="A38 C38">
    <cfRule type="expression" dxfId="91" priority="98">
      <formula>(A38&lt;&gt;"")*(WEEKDAY(A38,2)&gt;5)</formula>
    </cfRule>
  </conditionalFormatting>
  <conditionalFormatting sqref="I38 F38">
    <cfRule type="cellIs" dxfId="90" priority="91" operator="notEqual">
      <formula>0</formula>
    </cfRule>
  </conditionalFormatting>
  <conditionalFormatting sqref="D39:G39">
    <cfRule type="containsText" dxfId="89" priority="88" operator="containsText" text="CT">
      <formula>NOT(ISERROR(SEARCH("CT",D39)))</formula>
    </cfRule>
  </conditionalFormatting>
  <conditionalFormatting sqref="D39:I39">
    <cfRule type="containsText" dxfId="88" priority="87" operator="containsText" text="CP">
      <formula>NOT(ISERROR(SEARCH("CP",D39)))</formula>
    </cfRule>
  </conditionalFormatting>
  <conditionalFormatting sqref="J39">
    <cfRule type="cellIs" dxfId="87" priority="86" operator="greaterThan">
      <formula>0</formula>
    </cfRule>
  </conditionalFormatting>
  <conditionalFormatting sqref="B39">
    <cfRule type="containsText" dxfId="86" priority="84" operator="containsText" text="dimanche">
      <formula>NOT(ISERROR(SEARCH("dimanche",B39)))</formula>
    </cfRule>
    <cfRule type="containsText" dxfId="85" priority="85" operator="containsText" text="samedi">
      <formula>NOT(ISERROR(SEARCH("samedi",B39)))</formula>
    </cfRule>
  </conditionalFormatting>
  <conditionalFormatting sqref="C39">
    <cfRule type="timePeriod" dxfId="84" priority="83" timePeriod="today">
      <formula>FLOOR(C39,1)=TODAY()</formula>
    </cfRule>
  </conditionalFormatting>
  <conditionalFormatting sqref="A39:J39">
    <cfRule type="expression" dxfId="83" priority="90">
      <formula>COUNTIF($O$4:$O$16,$A39)=1</formula>
    </cfRule>
  </conditionalFormatting>
  <conditionalFormatting sqref="A39 C39">
    <cfRule type="expression" dxfId="82" priority="89">
      <formula>(A39&lt;&gt;"")*(WEEKDAY(A39,2)&gt;5)</formula>
    </cfRule>
  </conditionalFormatting>
  <conditionalFormatting sqref="I39 F39">
    <cfRule type="cellIs" dxfId="81" priority="82" operator="notEqual">
      <formula>0</formula>
    </cfRule>
  </conditionalFormatting>
  <conditionalFormatting sqref="D40:G40">
    <cfRule type="containsText" dxfId="80" priority="79" operator="containsText" text="CT">
      <formula>NOT(ISERROR(SEARCH("CT",D40)))</formula>
    </cfRule>
  </conditionalFormatting>
  <conditionalFormatting sqref="D40:I40">
    <cfRule type="containsText" dxfId="79" priority="78" operator="containsText" text="CP">
      <formula>NOT(ISERROR(SEARCH("CP",D40)))</formula>
    </cfRule>
  </conditionalFormatting>
  <conditionalFormatting sqref="J40">
    <cfRule type="cellIs" dxfId="78" priority="77" operator="greaterThan">
      <formula>0</formula>
    </cfRule>
  </conditionalFormatting>
  <conditionalFormatting sqref="B40">
    <cfRule type="containsText" dxfId="77" priority="75" operator="containsText" text="dimanche">
      <formula>NOT(ISERROR(SEARCH("dimanche",B40)))</formula>
    </cfRule>
    <cfRule type="containsText" dxfId="76" priority="76" operator="containsText" text="samedi">
      <formula>NOT(ISERROR(SEARCH("samedi",B40)))</formula>
    </cfRule>
  </conditionalFormatting>
  <conditionalFormatting sqref="C40">
    <cfRule type="timePeriod" dxfId="75" priority="74" timePeriod="today">
      <formula>FLOOR(C40,1)=TODAY()</formula>
    </cfRule>
  </conditionalFormatting>
  <conditionalFormatting sqref="A40:J40">
    <cfRule type="expression" dxfId="74" priority="81">
      <formula>COUNTIF($O$4:$O$16,$A40)=1</formula>
    </cfRule>
  </conditionalFormatting>
  <conditionalFormatting sqref="A40 C40">
    <cfRule type="expression" dxfId="73" priority="80">
      <formula>(A40&lt;&gt;"")*(WEEKDAY(A40,2)&gt;5)</formula>
    </cfRule>
  </conditionalFormatting>
  <conditionalFormatting sqref="I40 F40">
    <cfRule type="cellIs" dxfId="72" priority="73" operator="notEqual">
      <formula>0</formula>
    </cfRule>
  </conditionalFormatting>
  <conditionalFormatting sqref="D41 G41">
    <cfRule type="containsText" dxfId="71" priority="70" operator="containsText" text="CT">
      <formula>NOT(ISERROR(SEARCH("CT",D41)))</formula>
    </cfRule>
  </conditionalFormatting>
  <conditionalFormatting sqref="D41 G41:I41">
    <cfRule type="containsText" dxfId="70" priority="69" operator="containsText" text="CP">
      <formula>NOT(ISERROR(SEARCH("CP",D41)))</formula>
    </cfRule>
  </conditionalFormatting>
  <conditionalFormatting sqref="J41">
    <cfRule type="cellIs" dxfId="69" priority="68" operator="greaterThan">
      <formula>0</formula>
    </cfRule>
  </conditionalFormatting>
  <conditionalFormatting sqref="B41">
    <cfRule type="containsText" dxfId="68" priority="66" operator="containsText" text="dimanche">
      <formula>NOT(ISERROR(SEARCH("dimanche",B41)))</formula>
    </cfRule>
    <cfRule type="containsText" dxfId="67" priority="67" operator="containsText" text="samedi">
      <formula>NOT(ISERROR(SEARCH("samedi",B41)))</formula>
    </cfRule>
  </conditionalFormatting>
  <conditionalFormatting sqref="C41">
    <cfRule type="timePeriod" dxfId="66" priority="65" timePeriod="today">
      <formula>FLOOR(C41,1)=TODAY()</formula>
    </cfRule>
  </conditionalFormatting>
  <conditionalFormatting sqref="A41:J41">
    <cfRule type="expression" dxfId="65" priority="72">
      <formula>COUNTIF($O$4:$O$16,$A41)=1</formula>
    </cfRule>
  </conditionalFormatting>
  <conditionalFormatting sqref="A41 C41">
    <cfRule type="expression" dxfId="64" priority="71">
      <formula>(A41&lt;&gt;"")*(WEEKDAY(A41,2)&gt;5)</formula>
    </cfRule>
  </conditionalFormatting>
  <conditionalFormatting sqref="I41 F41">
    <cfRule type="cellIs" dxfId="63" priority="64" operator="notEqual">
      <formula>0</formula>
    </cfRule>
  </conditionalFormatting>
  <conditionalFormatting sqref="D42 G42">
    <cfRule type="containsText" dxfId="62" priority="61" operator="containsText" text="CT">
      <formula>NOT(ISERROR(SEARCH("CT",D42)))</formula>
    </cfRule>
  </conditionalFormatting>
  <conditionalFormatting sqref="D42 F42:I42">
    <cfRule type="containsText" dxfId="61" priority="60" operator="containsText" text="CP">
      <formula>NOT(ISERROR(SEARCH("CP",D42)))</formula>
    </cfRule>
  </conditionalFormatting>
  <conditionalFormatting sqref="J42">
    <cfRule type="cellIs" dxfId="60" priority="59" operator="greaterThan">
      <formula>0</formula>
    </cfRule>
  </conditionalFormatting>
  <conditionalFormatting sqref="B42">
    <cfRule type="containsText" dxfId="59" priority="57" operator="containsText" text="dimanche">
      <formula>NOT(ISERROR(SEARCH("dimanche",B42)))</formula>
    </cfRule>
    <cfRule type="containsText" dxfId="58" priority="58" operator="containsText" text="samedi">
      <formula>NOT(ISERROR(SEARCH("samedi",B42)))</formula>
    </cfRule>
  </conditionalFormatting>
  <conditionalFormatting sqref="C42">
    <cfRule type="timePeriod" dxfId="57" priority="56" timePeriod="today">
      <formula>FLOOR(C42,1)=TODAY()</formula>
    </cfRule>
  </conditionalFormatting>
  <conditionalFormatting sqref="A42:J42">
    <cfRule type="expression" dxfId="56" priority="63">
      <formula>COUNTIF($O$4:$O$16,$A42)=1</formula>
    </cfRule>
  </conditionalFormatting>
  <conditionalFormatting sqref="A42 C42">
    <cfRule type="expression" dxfId="55" priority="62">
      <formula>(A42&lt;&gt;"")*(WEEKDAY(A42,2)&gt;5)</formula>
    </cfRule>
  </conditionalFormatting>
  <conditionalFormatting sqref="I42 F42">
    <cfRule type="cellIs" dxfId="54" priority="55" operator="notEqual">
      <formula>0</formula>
    </cfRule>
  </conditionalFormatting>
  <conditionalFormatting sqref="D43:G43">
    <cfRule type="containsText" dxfId="53" priority="52" operator="containsText" text="CT">
      <formula>NOT(ISERROR(SEARCH("CT",D43)))</formula>
    </cfRule>
  </conditionalFormatting>
  <conditionalFormatting sqref="D43:I43">
    <cfRule type="containsText" dxfId="52" priority="51" operator="containsText" text="CP">
      <formula>NOT(ISERROR(SEARCH("CP",D43)))</formula>
    </cfRule>
  </conditionalFormatting>
  <conditionalFormatting sqref="J43">
    <cfRule type="cellIs" dxfId="51" priority="50" operator="greaterThan">
      <formula>0</formula>
    </cfRule>
  </conditionalFormatting>
  <conditionalFormatting sqref="B43">
    <cfRule type="containsText" dxfId="50" priority="48" operator="containsText" text="dimanche">
      <formula>NOT(ISERROR(SEARCH("dimanche",B43)))</formula>
    </cfRule>
    <cfRule type="containsText" dxfId="49" priority="49" operator="containsText" text="samedi">
      <formula>NOT(ISERROR(SEARCH("samedi",B43)))</formula>
    </cfRule>
  </conditionalFormatting>
  <conditionalFormatting sqref="C43">
    <cfRule type="timePeriod" dxfId="48" priority="47" timePeriod="today">
      <formula>FLOOR(C43,1)=TODAY()</formula>
    </cfRule>
  </conditionalFormatting>
  <conditionalFormatting sqref="A43:J43">
    <cfRule type="expression" dxfId="47" priority="54">
      <formula>COUNTIF($O$4:$O$16,$A43)=1</formula>
    </cfRule>
  </conditionalFormatting>
  <conditionalFormatting sqref="A43 C43">
    <cfRule type="expression" dxfId="46" priority="53">
      <formula>(A43&lt;&gt;"")*(WEEKDAY(A43,2)&gt;5)</formula>
    </cfRule>
  </conditionalFormatting>
  <conditionalFormatting sqref="I43 F43">
    <cfRule type="cellIs" dxfId="45" priority="46" operator="notEqual">
      <formula>0</formula>
    </cfRule>
  </conditionalFormatting>
  <conditionalFormatting sqref="D44:G44">
    <cfRule type="containsText" dxfId="44" priority="43" operator="containsText" text="CT">
      <formula>NOT(ISERROR(SEARCH("CT",D44)))</formula>
    </cfRule>
  </conditionalFormatting>
  <conditionalFormatting sqref="D44:I44">
    <cfRule type="containsText" dxfId="43" priority="42" operator="containsText" text="CP">
      <formula>NOT(ISERROR(SEARCH("CP",D44)))</formula>
    </cfRule>
  </conditionalFormatting>
  <conditionalFormatting sqref="J44">
    <cfRule type="cellIs" dxfId="42" priority="41" operator="greaterThan">
      <formula>0</formula>
    </cfRule>
  </conditionalFormatting>
  <conditionalFormatting sqref="B44">
    <cfRule type="containsText" dxfId="41" priority="39" operator="containsText" text="dimanche">
      <formula>NOT(ISERROR(SEARCH("dimanche",B44)))</formula>
    </cfRule>
    <cfRule type="containsText" dxfId="40" priority="40" operator="containsText" text="samedi">
      <formula>NOT(ISERROR(SEARCH("samedi",B44)))</formula>
    </cfRule>
  </conditionalFormatting>
  <conditionalFormatting sqref="C44">
    <cfRule type="timePeriod" dxfId="39" priority="38" timePeriod="today">
      <formula>FLOOR(C44,1)=TODAY()</formula>
    </cfRule>
  </conditionalFormatting>
  <conditionalFormatting sqref="A44:J44">
    <cfRule type="expression" dxfId="38" priority="45">
      <formula>COUNTIF($O$4:$O$16,$A44)=1</formula>
    </cfRule>
  </conditionalFormatting>
  <conditionalFormatting sqref="A44 C44">
    <cfRule type="expression" dxfId="37" priority="44">
      <formula>(A44&lt;&gt;"")*(WEEKDAY(A44,2)&gt;5)</formula>
    </cfRule>
  </conditionalFormatting>
  <conditionalFormatting sqref="I44 F44">
    <cfRule type="cellIs" dxfId="36" priority="37" operator="notEqual">
      <formula>0</formula>
    </cfRule>
  </conditionalFormatting>
  <conditionalFormatting sqref="D45:G45">
    <cfRule type="containsText" dxfId="35" priority="34" operator="containsText" text="CT">
      <formula>NOT(ISERROR(SEARCH("CT",D45)))</formula>
    </cfRule>
  </conditionalFormatting>
  <conditionalFormatting sqref="D45:I45">
    <cfRule type="containsText" dxfId="34" priority="33" operator="containsText" text="CP">
      <formula>NOT(ISERROR(SEARCH("CP",D45)))</formula>
    </cfRule>
  </conditionalFormatting>
  <conditionalFormatting sqref="J45">
    <cfRule type="cellIs" dxfId="33" priority="32" operator="greaterThan">
      <formula>0</formula>
    </cfRule>
  </conditionalFormatting>
  <conditionalFormatting sqref="B45">
    <cfRule type="containsText" dxfId="32" priority="30" operator="containsText" text="dimanche">
      <formula>NOT(ISERROR(SEARCH("dimanche",B45)))</formula>
    </cfRule>
    <cfRule type="containsText" dxfId="31" priority="31" operator="containsText" text="samedi">
      <formula>NOT(ISERROR(SEARCH("samedi",B45)))</formula>
    </cfRule>
  </conditionalFormatting>
  <conditionalFormatting sqref="C45">
    <cfRule type="timePeriod" dxfId="30" priority="29" timePeriod="today">
      <formula>FLOOR(C45,1)=TODAY()</formula>
    </cfRule>
  </conditionalFormatting>
  <conditionalFormatting sqref="A45:J45">
    <cfRule type="expression" dxfId="29" priority="36">
      <formula>COUNTIF($O$4:$O$16,$A45)=1</formula>
    </cfRule>
  </conditionalFormatting>
  <conditionalFormatting sqref="A45 C45">
    <cfRule type="expression" dxfId="28" priority="35">
      <formula>(A45&lt;&gt;"")*(WEEKDAY(A45,2)&gt;5)</formula>
    </cfRule>
  </conditionalFormatting>
  <conditionalFormatting sqref="I45 F45">
    <cfRule type="cellIs" dxfId="27" priority="28" operator="notEqual">
      <formula>0</formula>
    </cfRule>
  </conditionalFormatting>
  <conditionalFormatting sqref="D46:G46">
    <cfRule type="containsText" dxfId="26" priority="25" operator="containsText" text="CT">
      <formula>NOT(ISERROR(SEARCH("CT",D46)))</formula>
    </cfRule>
  </conditionalFormatting>
  <conditionalFormatting sqref="D46:I46">
    <cfRule type="containsText" dxfId="25" priority="24" operator="containsText" text="CP">
      <formula>NOT(ISERROR(SEARCH("CP",D46)))</formula>
    </cfRule>
  </conditionalFormatting>
  <conditionalFormatting sqref="J46">
    <cfRule type="cellIs" dxfId="24" priority="23" operator="greaterThan">
      <formula>0</formula>
    </cfRule>
  </conditionalFormatting>
  <conditionalFormatting sqref="B46">
    <cfRule type="containsText" dxfId="23" priority="21" operator="containsText" text="dimanche">
      <formula>NOT(ISERROR(SEARCH("dimanche",B46)))</formula>
    </cfRule>
    <cfRule type="containsText" dxfId="22" priority="22" operator="containsText" text="samedi">
      <formula>NOT(ISERROR(SEARCH("samedi",B46)))</formula>
    </cfRule>
  </conditionalFormatting>
  <conditionalFormatting sqref="C46">
    <cfRule type="timePeriod" dxfId="21" priority="20" timePeriod="today">
      <formula>FLOOR(C46,1)=TODAY()</formula>
    </cfRule>
  </conditionalFormatting>
  <conditionalFormatting sqref="A46:J46">
    <cfRule type="expression" dxfId="20" priority="27">
      <formula>COUNTIF($O$4:$O$16,$A46)=1</formula>
    </cfRule>
  </conditionalFormatting>
  <conditionalFormatting sqref="A46 C46">
    <cfRule type="expression" dxfId="19" priority="26">
      <formula>(A46&lt;&gt;"")*(WEEKDAY(A46,2)&gt;5)</formula>
    </cfRule>
  </conditionalFormatting>
  <conditionalFormatting sqref="I46 F46">
    <cfRule type="cellIs" dxfId="18" priority="19" operator="notEqual">
      <formula>0</formula>
    </cfRule>
  </conditionalFormatting>
  <conditionalFormatting sqref="D47:G47">
    <cfRule type="containsText" dxfId="17" priority="16" operator="containsText" text="CT">
      <formula>NOT(ISERROR(SEARCH("CT",D47)))</formula>
    </cfRule>
  </conditionalFormatting>
  <conditionalFormatting sqref="D47:I47">
    <cfRule type="containsText" dxfId="16" priority="15" operator="containsText" text="CP">
      <formula>NOT(ISERROR(SEARCH("CP",D47)))</formula>
    </cfRule>
  </conditionalFormatting>
  <conditionalFormatting sqref="J47">
    <cfRule type="cellIs" dxfId="15" priority="14" operator="greaterThan">
      <formula>0</formula>
    </cfRule>
  </conditionalFormatting>
  <conditionalFormatting sqref="B47">
    <cfRule type="containsText" dxfId="14" priority="12" operator="containsText" text="dimanche">
      <formula>NOT(ISERROR(SEARCH("dimanche",B47)))</formula>
    </cfRule>
    <cfRule type="containsText" dxfId="13" priority="13" operator="containsText" text="samedi">
      <formula>NOT(ISERROR(SEARCH("samedi",B47)))</formula>
    </cfRule>
  </conditionalFormatting>
  <conditionalFormatting sqref="C47">
    <cfRule type="timePeriod" dxfId="12" priority="11" timePeriod="today">
      <formula>FLOOR(C47,1)=TODAY()</formula>
    </cfRule>
  </conditionalFormatting>
  <conditionalFormatting sqref="A47:J47">
    <cfRule type="expression" dxfId="11" priority="18">
      <formula>COUNTIF($O$4:$O$16,$A47)=1</formula>
    </cfRule>
  </conditionalFormatting>
  <conditionalFormatting sqref="A47 C47">
    <cfRule type="expression" dxfId="10" priority="17">
      <formula>(A47&lt;&gt;"")*(WEEKDAY(A47,2)&gt;5)</formula>
    </cfRule>
  </conditionalFormatting>
  <conditionalFormatting sqref="I47 F47">
    <cfRule type="cellIs" dxfId="9" priority="10" operator="notEqual">
      <formula>0</formula>
    </cfRule>
  </conditionalFormatting>
  <conditionalFormatting sqref="D48 G48">
    <cfRule type="containsText" dxfId="8" priority="7" operator="containsText" text="CT">
      <formula>NOT(ISERROR(SEARCH("CT",D48)))</formula>
    </cfRule>
  </conditionalFormatting>
  <conditionalFormatting sqref="D48 G48:I48">
    <cfRule type="containsText" dxfId="7" priority="6" operator="containsText" text="CP">
      <formula>NOT(ISERROR(SEARCH("CP",D48)))</formula>
    </cfRule>
  </conditionalFormatting>
  <conditionalFormatting sqref="J48">
    <cfRule type="cellIs" dxfId="6" priority="5" operator="greaterThan">
      <formula>0</formula>
    </cfRule>
  </conditionalFormatting>
  <conditionalFormatting sqref="B48">
    <cfRule type="containsText" dxfId="5" priority="3" operator="containsText" text="dimanche">
      <formula>NOT(ISERROR(SEARCH("dimanche",B48)))</formula>
    </cfRule>
    <cfRule type="containsText" dxfId="4" priority="4" operator="containsText" text="samedi">
      <formula>NOT(ISERROR(SEARCH("samedi",B48)))</formula>
    </cfRule>
  </conditionalFormatting>
  <conditionalFormatting sqref="C48">
    <cfRule type="timePeriod" dxfId="3" priority="2" timePeriod="today">
      <formula>FLOOR(C48,1)=TODAY()</formula>
    </cfRule>
  </conditionalFormatting>
  <conditionalFormatting sqref="A48:J48">
    <cfRule type="expression" dxfId="2" priority="9">
      <formula>COUNTIF($O$4:$O$16,$A48)=1</formula>
    </cfRule>
  </conditionalFormatting>
  <conditionalFormatting sqref="A48 C48">
    <cfRule type="expression" dxfId="1" priority="8">
      <formula>(A48&lt;&gt;"")*(WEEKDAY(A48,2)&gt;5)</formula>
    </cfRule>
  </conditionalFormatting>
  <conditionalFormatting sqref="I48 F48">
    <cfRule type="cellIs" dxfId="0" priority="1" operator="notEqual">
      <formula>0</formula>
    </cfRule>
  </conditionalFormatting>
  <printOptions gridLines="1"/>
  <pageMargins left="0.25" right="0.25" top="0.75" bottom="0.75" header="0.3" footer="0.3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paramètres</vt:lpstr>
      <vt:lpstr>planning</vt:lpstr>
      <vt:lpstr>recap mensuelle</vt:lpstr>
      <vt:lpstr>absences</vt:lpstr>
      <vt:lpstr>dépassement_hebdo</vt:lpstr>
      <vt:lpstr>Heures_assimilées_TTE</vt:lpstr>
      <vt:lpstr>planifié</vt:lpstr>
      <vt:lpstr>realisé</vt:lpstr>
      <vt:lpstr>réalisé_hebdo</vt:lpstr>
      <vt:lpstr>saisie_absence</vt:lpstr>
      <vt:lpstr>saisir_année</vt:lpstr>
      <vt:lpstr>total_heures_assimilées_tte</vt:lpstr>
      <vt:lpstr>'recap mensuelle'!Zone_d_impression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boulanger</dc:creator>
  <cp:lastModifiedBy>SAIDV</cp:lastModifiedBy>
  <cp:lastPrinted>2015-01-03T15:53:33Z</cp:lastPrinted>
  <dcterms:created xsi:type="dcterms:W3CDTF">2014-10-12T11:49:02Z</dcterms:created>
  <dcterms:modified xsi:type="dcterms:W3CDTF">2015-10-24T20:07:02Z</dcterms:modified>
</cp:coreProperties>
</file>