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drawings/drawing2.xml" ContentType="application/vnd.openxmlformats-officedocument.drawing+xml"/>
  <Override PartName="/xl/comments5.xml" ContentType="application/vnd.openxmlformats-officedocument.spreadsheetml.comments+xml"/>
  <Override PartName="/xl/comments6.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comments7.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personnel\Mes Documents\Alain\immobilier\"/>
    </mc:Choice>
  </mc:AlternateContent>
  <bookViews>
    <workbookView xWindow="0" yWindow="0" windowWidth="20730" windowHeight="11760"/>
  </bookViews>
  <sheets>
    <sheet name="Accueil" sheetId="16" r:id="rId1"/>
    <sheet name="en cours" sheetId="27" r:id="rId2"/>
    <sheet name="Baratin" sheetId="47" r:id="rId3"/>
    <sheet name="MOP" sheetId="24" r:id="rId4"/>
    <sheet name="Xref" sheetId="32" r:id="rId5"/>
    <sheet name="parm" sheetId="43" r:id="rId6"/>
    <sheet name="Proprietaire" sheetId="36" r:id="rId7"/>
    <sheet name="Logement_charges" sheetId="46" r:id="rId8"/>
    <sheet name="Contacts" sheetId="49" r:id="rId9"/>
    <sheet name="Carnet" sheetId="48" r:id="rId10"/>
    <sheet name="Logement" sheetId="15" r:id="rId11"/>
    <sheet name="Locataires" sheetId="25" r:id="rId12"/>
    <sheet name="fiche Proprietaire" sheetId="37" r:id="rId13"/>
    <sheet name="fiche Proprio_indice" sheetId="50" r:id="rId14"/>
    <sheet name="fiche Locataire" sheetId="31" r:id="rId15"/>
    <sheet name="fiche Logement" sheetId="35" state="hidden" r:id="rId16"/>
    <sheet name="Old_fiche signalitique" sheetId="28" r:id="rId17"/>
    <sheet name="fiche Quittance" sheetId="44" r:id="rId18"/>
    <sheet name="fiche Charges" sheetId="51" r:id="rId19"/>
    <sheet name="fiche Solde tout compte" sheetId="45" r:id="rId20"/>
    <sheet name="indices" sheetId="23" r:id="rId21"/>
    <sheet name="main courante" sheetId="26" r:id="rId22"/>
    <sheet name="Old_recap" sheetId="18" r:id="rId23"/>
    <sheet name="recap_L1" sheetId="1" state="hidden" r:id="rId24"/>
    <sheet name="recap_L2" sheetId="17" state="hidden" r:id="rId25"/>
    <sheet name="recap_L3" sheetId="19" state="hidden" r:id="rId26"/>
    <sheet name="recap_L4" sheetId="20" state="hidden" r:id="rId27"/>
    <sheet name="recap_L5" sheetId="21" state="hidden" r:id="rId28"/>
    <sheet name="Old_Mois" sheetId="38" r:id="rId29"/>
    <sheet name="Old_Janv" sheetId="2" r:id="rId30"/>
    <sheet name="Old_Fev" sheetId="3" r:id="rId31"/>
    <sheet name="Old_Mars" sheetId="4" r:id="rId32"/>
    <sheet name="Old_Avril" sheetId="5" r:id="rId33"/>
    <sheet name="old_Mai" sheetId="6" r:id="rId34"/>
    <sheet name="old_Juin" sheetId="7" r:id="rId35"/>
    <sheet name="Old_Juillet" sheetId="8" r:id="rId36"/>
    <sheet name="Old_Aout" sheetId="9" r:id="rId37"/>
    <sheet name="Old_Sept" sheetId="10" r:id="rId38"/>
    <sheet name="Old_Oct" sheetId="11" r:id="rId39"/>
    <sheet name="Old_Nov" sheetId="12" r:id="rId40"/>
    <sheet name="Old_Dec" sheetId="13" r:id="rId41"/>
    <sheet name="Solde" sheetId="39" r:id="rId42"/>
    <sheet name="Attestation_L1" sheetId="14" r:id="rId43"/>
    <sheet name="recap_L1 (2)" sheetId="41" r:id="rId44"/>
    <sheet name="recap_L2 (2)" sheetId="42" r:id="rId45"/>
    <sheet name="recap_L3 (2)" sheetId="40" r:id="rId46"/>
  </sheets>
  <definedNames>
    <definedName name="accueil_fiche">Accueil!$C$20</definedName>
    <definedName name="Apld_01">Old_recap!$E$7</definedName>
    <definedName name="Apld_02">Old_recap!$E$8</definedName>
    <definedName name="Apld_03">Old_recap!$E$9</definedName>
    <definedName name="Apld_04">Old_recap!$E$10</definedName>
    <definedName name="Apld_05">Old_recap!$E$11</definedName>
    <definedName name="Apld_06">Old_recap!$E$12</definedName>
    <definedName name="Apld_07">Old_recap!$E$13</definedName>
    <definedName name="Apld_08">Old_recap!$E$14</definedName>
    <definedName name="Apld_09">Old_recap!$E$15</definedName>
    <definedName name="Apld_10">Old_recap!$E$16</definedName>
    <definedName name="Apld_11">Old_recap!$E$17</definedName>
    <definedName name="Apld_12">Old_recap!$E$18</definedName>
    <definedName name="Aplm_01">Old_recap!$D$7</definedName>
    <definedName name="Aplm_02">Old_recap!$D$8</definedName>
    <definedName name="Aplm_03">Old_recap!$D$9</definedName>
    <definedName name="Aplm_04">Old_recap!$D$10</definedName>
    <definedName name="Aplm_05">Old_recap!$D$11</definedName>
    <definedName name="Aplm_06">Old_recap!$D$12</definedName>
    <definedName name="Aplm_07">Old_recap!$D$13</definedName>
    <definedName name="Aplm_08">Old_recap!$D$14</definedName>
    <definedName name="Aplm_09">Old_recap!$D$15</definedName>
    <definedName name="Aplm_10">Old_recap!$D$16</definedName>
    <definedName name="Aplm_11">Old_recap!$D$17</definedName>
    <definedName name="Aplm_12">Old_recap!$D$18</definedName>
    <definedName name="appt_1" localSheetId="7">Logement_charges!$B$4</definedName>
    <definedName name="appt_1">Logement!$C$4</definedName>
    <definedName name="appt_2" localSheetId="7">Logement_charges!$B$5</definedName>
    <definedName name="appt_2">Logement!$C$5</definedName>
    <definedName name="appt_3" localSheetId="7">Logement_charges!$B$6</definedName>
    <definedName name="appt_3">Logement!$C$6</definedName>
    <definedName name="appt_4" localSheetId="7">Logement_charges!$B$7</definedName>
    <definedName name="appt_4">Logement!$C$7</definedName>
    <definedName name="appt_5" localSheetId="7">Logement_charges!$B$8</definedName>
    <definedName name="appt_5">Logement!$C$8</definedName>
    <definedName name="appt_charg_1" localSheetId="7">Logement_charges!#REF!</definedName>
    <definedName name="appt_charg_1">Logement!$N$4</definedName>
    <definedName name="appt_charg_2" localSheetId="7">Logement_charges!$L$4</definedName>
    <definedName name="appt_charg_2">Logement!$N$5</definedName>
    <definedName name="appt_charg_3" localSheetId="7">Logement_charges!$L$6</definedName>
    <definedName name="appt_charg_3">Logement!$N$6</definedName>
    <definedName name="appt_charg_4" localSheetId="7">Logement_charges!$L$7</definedName>
    <definedName name="appt_charg_4">Logement!$N$7</definedName>
    <definedName name="appt_charg_5" localSheetId="7">Logement_charges!$L$8</definedName>
    <definedName name="appt_charg_5">Logement!$N$8</definedName>
    <definedName name="appt_loy_1" localSheetId="7">Logement_charges!#REF!</definedName>
    <definedName name="appt_loy_1">Logement!$I$4</definedName>
    <definedName name="appt_loy_2" localSheetId="7">Logement_charges!$G$4</definedName>
    <definedName name="appt_loy_2">Logement!$I$5</definedName>
    <definedName name="appt_loy_3" localSheetId="7">Logement_charges!$G$6</definedName>
    <definedName name="appt_loy_3">Logement!$I$6</definedName>
    <definedName name="appt_loy_4" localSheetId="7">Logement_charges!$G$7</definedName>
    <definedName name="appt_loy_4">Logement!$I$7</definedName>
    <definedName name="appt_loy_5" localSheetId="7">Logement_charges!$G$8</definedName>
    <definedName name="appt_loy_5">Logement!$I$8</definedName>
    <definedName name="Arch_sel">Old_recap!$B$27</definedName>
    <definedName name="archive_cod_logement" localSheetId="7">Logement_charges!$E$10</definedName>
    <definedName name="archive_cod_logement">Logement!$G$11</definedName>
    <definedName name="Char_01">Old_recap!$C$7</definedName>
    <definedName name="Char_02">Old_recap!$C$8</definedName>
    <definedName name="Char_03">Old_recap!$C$9</definedName>
    <definedName name="Char_04">Old_recap!$C$10</definedName>
    <definedName name="Char_05">Old_recap!$C$11</definedName>
    <definedName name="Char_06">Old_recap!$C$12</definedName>
    <definedName name="Char_07">Old_recap!$C$13</definedName>
    <definedName name="Char_08">Old_recap!$C$14</definedName>
    <definedName name="Char_09">Old_recap!$C$15</definedName>
    <definedName name="Char_10">Old_recap!$C$16</definedName>
    <definedName name="Char_11">Old_recap!$C$17</definedName>
    <definedName name="Char_12">Old_recap!$C$18</definedName>
    <definedName name="choix_appartement">Accueil!$C$7</definedName>
    <definedName name="cod_bien">Accueil!$A$2</definedName>
    <definedName name="cod_logement">Old_recap!$O$6</definedName>
    <definedName name="cod_version">Accueil!$A$1</definedName>
    <definedName name="code_appart">Accueil!$E$7</definedName>
    <definedName name="F_Loc_Apl_doss">'fiche Locataire'!$B$24</definedName>
    <definedName name="F_Loc_Apl_Maj">'fiche Locataire'!$M$21</definedName>
    <definedName name="F_Loc_Apl_Mode">'fiche Locataire'!$L$22</definedName>
    <definedName name="F_Loc_Apl_Mt">'fiche Locataire'!$F$24</definedName>
    <definedName name="F_Loc_APL_O_N">'fiche Locataire'!$C$23</definedName>
    <definedName name="F_Loc_Assu_attest" localSheetId="18">'fiche Locataire'!#REF!</definedName>
    <definedName name="F_Loc_Assu_attest" localSheetId="15">'fiche Locataire'!#REF!</definedName>
    <definedName name="F_Loc_Assu_attest" localSheetId="13">'fiche Locataire'!#REF!</definedName>
    <definedName name="F_Loc_Assu_attest" localSheetId="17">'fiche Locataire'!#REF!</definedName>
    <definedName name="F_Loc_Assu_attest" localSheetId="19">'fiche Locataire'!#REF!</definedName>
    <definedName name="F_Loc_Assu_attest" localSheetId="7">'fiche Locataire'!#REF!</definedName>
    <definedName name="F_Loc_Assu_attest" localSheetId="28">'fiche Locataire'!#REF!</definedName>
    <definedName name="F_Loc_Assu_attest" localSheetId="43">'fiche Locataire'!#REF!</definedName>
    <definedName name="F_Loc_Assu_attest" localSheetId="44">'fiche Locataire'!#REF!</definedName>
    <definedName name="F_Loc_Assu_attest" localSheetId="45">'fiche Locataire'!#REF!</definedName>
    <definedName name="F_Loc_Assu_attest">'fiche Locataire'!#REF!</definedName>
    <definedName name="F_Loc_Assu_Comp" localSheetId="18">'fiche Locataire'!#REF!</definedName>
    <definedName name="F_Loc_Assu_Comp" localSheetId="15">'fiche Locataire'!#REF!</definedName>
    <definedName name="F_Loc_Assu_Comp" localSheetId="13">'fiche Locataire'!#REF!</definedName>
    <definedName name="F_Loc_Assu_Comp" localSheetId="17">'fiche Locataire'!#REF!</definedName>
    <definedName name="F_Loc_Assu_Comp" localSheetId="19">'fiche Locataire'!#REF!</definedName>
    <definedName name="F_Loc_Assu_Comp" localSheetId="7">'fiche Locataire'!#REF!</definedName>
    <definedName name="F_Loc_Assu_Comp" localSheetId="28">'fiche Locataire'!#REF!</definedName>
    <definedName name="F_Loc_Assu_Comp" localSheetId="43">'fiche Locataire'!#REF!</definedName>
    <definedName name="F_Loc_Assu_Comp" localSheetId="44">'fiche Locataire'!#REF!</definedName>
    <definedName name="F_Loc_Assu_Comp" localSheetId="45">'fiche Locataire'!#REF!</definedName>
    <definedName name="F_Loc_Assu_Comp">'fiche Locataire'!#REF!</definedName>
    <definedName name="F_Loc_Assurance">'fiche Locataire'!$B$29</definedName>
    <definedName name="F_Loc_Attest">'fiche Locataire'!$B$30</definedName>
    <definedName name="F_Loc_Cable">'fiche Locataire'!$L$35</definedName>
    <definedName name="F_Loc_Caf">'fiche Locataire'!$B$31</definedName>
    <definedName name="F_Loc_caution">'fiche Locataire'!$B$19</definedName>
    <definedName name="F_Loc_Caution_naiss1">'fiche Locataire'!$F$20</definedName>
    <definedName name="F_Loc_Caution_naiss1_lib">'fiche Locataire'!$E$20</definedName>
    <definedName name="F_Loc_Caution_Naiss2">'fiche Locataire'!$F$21</definedName>
    <definedName name="F_Loc_Caution_naiss2_lib">'fiche Locataire'!$E$21</definedName>
    <definedName name="F_Loc_Caution_Nom1">'fiche Locataire'!$B$20</definedName>
    <definedName name="F_Loc_Caution_Nom1_lib">'fiche Locataire'!$A$20</definedName>
    <definedName name="F_Loc_Caution_Nom2">'fiche Locataire'!$B$21</definedName>
    <definedName name="F_Loc_Caution_Nom2_lib">'fiche Locataire'!$A$21</definedName>
    <definedName name="F_Loc_Caution_parent1">'fiche Locataire'!$J$20</definedName>
    <definedName name="F_Loc_Caution_parent1_lib">'fiche Locataire'!$H$20</definedName>
    <definedName name="F_Loc_Caution_parent2">'fiche Locataire'!$J$21</definedName>
    <definedName name="F_Loc_Caution_parent2_lib">'fiche Locataire'!$H$21</definedName>
    <definedName name="F_Loc_Charges">'fiche Locataire'!$M$11</definedName>
    <definedName name="F_Loc_Dat_ent">'fiche Locataire'!$B$15</definedName>
    <definedName name="F_Loc_Dat_sort">'fiche Locataire'!$H$15</definedName>
    <definedName name="F_Loc_Date_Naiss">'fiche Locataire'!$B$5</definedName>
    <definedName name="F_Loc_Date_Naiss2">'fiche Locataire'!$J$5</definedName>
    <definedName name="F_Loc_depot">'fiche Locataire'!$B$18</definedName>
    <definedName name="F_Loc_depot_mode">'fiche Locataire'!$F$18</definedName>
    <definedName name="F_Loc_E_Gaz" localSheetId="18">'fiche Locataire'!#REF!</definedName>
    <definedName name="F_Loc_E_Gaz" localSheetId="15">'fiche Locataire'!#REF!</definedName>
    <definedName name="F_Loc_E_Gaz" localSheetId="13">'fiche Locataire'!#REF!</definedName>
    <definedName name="F_Loc_E_Gaz" localSheetId="17">'fiche Locataire'!#REF!</definedName>
    <definedName name="F_Loc_E_Gaz" localSheetId="19">'fiche Locataire'!#REF!</definedName>
    <definedName name="F_Loc_E_Gaz" localSheetId="7">'fiche Locataire'!#REF!</definedName>
    <definedName name="F_Loc_E_Gaz" localSheetId="28">'fiche Locataire'!#REF!</definedName>
    <definedName name="F_Loc_E_Gaz" localSheetId="43">'fiche Locataire'!#REF!</definedName>
    <definedName name="F_Loc_E_Gaz" localSheetId="44">'fiche Locataire'!#REF!</definedName>
    <definedName name="F_Loc_E_Gaz" localSheetId="45">'fiche Locataire'!#REF!</definedName>
    <definedName name="F_Loc_E_Gaz">'fiche Locataire'!#REF!</definedName>
    <definedName name="F_Loc_Eau_E_Chaud">'fiche Locataire'!$F$36</definedName>
    <definedName name="F_Loc_Eau_E_Froid">'fiche Locataire'!$J$36</definedName>
    <definedName name="F_Loc_Eau_S_Chaud">'fiche Locataire'!$F$37</definedName>
    <definedName name="F_Loc_Eau_S_Froid">'fiche Locataire'!$J$37</definedName>
    <definedName name="F_Loc_Edf_E_HC">'fiche Locataire'!$J$34</definedName>
    <definedName name="F_Loc_Edf_E_HC_Lib">'fiche Locataire'!$H$34</definedName>
    <definedName name="F_Loc_Edf_E_HP">'fiche Locataire'!$F$34</definedName>
    <definedName name="F_Loc_Edf_S_HC">'fiche Locataire'!$J$35</definedName>
    <definedName name="F_Loc_Edf_S_HC_Lib">'fiche Locataire'!$H$35</definedName>
    <definedName name="F_Loc_Edf_S_HP">'fiche Locataire'!$F$35</definedName>
    <definedName name="F_Loc_Fsl_doss">'fiche Locataire'!$B$26</definedName>
    <definedName name="F_Loc_Gaz">'fiche Locataire'!$L$36</definedName>
    <definedName name="F_Loc_LIBDate_Naiss2">'fiche Locataire'!$F$5</definedName>
    <definedName name="F_Loc_LIBNationnalite">'fiche Locataire'!$D$6</definedName>
    <definedName name="F_Loc_Lieu_Naiss">'fiche Locataire'!$B$6</definedName>
    <definedName name="F_Loc_Lieu_Naiss2">'fiche Locataire'!$J$6</definedName>
    <definedName name="F_Loc_Logement">'fiche Locataire'!$A$11</definedName>
    <definedName name="F_Loc_Loyer">'fiche Locataire'!$H$11</definedName>
    <definedName name="F_Loc_mail">'fiche Locataire'!$B$8</definedName>
    <definedName name="F_Loc_mail2">'fiche Locataire'!$J$8</definedName>
    <definedName name="F_Loc_Nationnalite">'fiche Locataire'!$E$6</definedName>
    <definedName name="F_Loc_Nom">'fiche Locataire'!$B$4</definedName>
    <definedName name="F_Loc_Nom2">'fiche Locataire'!$H$4</definedName>
    <definedName name="F_Loc_Num">'fiche Locataire'!$M$4</definedName>
    <definedName name="F_Loc_paiement">'fiche Locataire'!$B$23</definedName>
    <definedName name="F_Loc_Ptt">'fiche Locataire'!$L$37</definedName>
    <definedName name="F_Loc_Quitt_Envoi">'fiche Locataire'!$B$13</definedName>
    <definedName name="F_Loc_Quitt_Paiement">'fiche Locataire'!$L$13</definedName>
    <definedName name="F_Loc_S_Gaz" localSheetId="18">'fiche Locataire'!#REF!</definedName>
    <definedName name="F_Loc_S_Gaz" localSheetId="15">'fiche Locataire'!#REF!</definedName>
    <definedName name="F_Loc_S_Gaz" localSheetId="13">'fiche Locataire'!#REF!</definedName>
    <definedName name="F_Loc_S_Gaz" localSheetId="17">'fiche Locataire'!#REF!</definedName>
    <definedName name="F_Loc_S_Gaz" localSheetId="19">'fiche Locataire'!#REF!</definedName>
    <definedName name="F_Loc_S_Gaz" localSheetId="7">'fiche Locataire'!#REF!</definedName>
    <definedName name="F_Loc_S_Gaz" localSheetId="28">'fiche Locataire'!#REF!</definedName>
    <definedName name="F_Loc_S_Gaz" localSheetId="43">'fiche Locataire'!#REF!</definedName>
    <definedName name="F_Loc_S_Gaz" localSheetId="44">'fiche Locataire'!#REF!</definedName>
    <definedName name="F_Loc_S_Gaz" localSheetId="45">'fiche Locataire'!#REF!</definedName>
    <definedName name="F_Loc_S_Gaz">'fiche Locataire'!#REF!</definedName>
    <definedName name="F_Loc_Tfixe">'fiche Locataire'!$B$7</definedName>
    <definedName name="F_Loc_Tfixe2">'fiche Locataire'!$J$7</definedName>
    <definedName name="F_Loc_Tport">'fiche Locataire'!$E$7</definedName>
    <definedName name="F_Loc_Tport2">'fiche Locataire'!$L$7</definedName>
    <definedName name="F_Locataire_Ret_date">'fiche Locataire'!$L$19</definedName>
    <definedName name="F_Locataire_Ret_Mode">'fiche Locataire'!$L$20</definedName>
    <definedName name="F_Locataire_Retenue">'fiche Locataire'!$L$18</definedName>
    <definedName name="F_log_adr">'fiche Logement'!$B$4</definedName>
    <definedName name="F_log_an">'fiche Logement'!$B$15</definedName>
    <definedName name="F_log_ascenseur">'fiche Logement'!$F$8</definedName>
    <definedName name="F_log_assu_comp">'fiche Logement'!$B$43</definedName>
    <definedName name="F_Log_assu_contrat">'fiche Logement'!$H$42</definedName>
    <definedName name="F_log_assu_nom">'fiche Logement'!$B$42</definedName>
    <definedName name="F_log_assurance">'fiche Logement'!$B$12</definedName>
    <definedName name="F_log_assurance_client">'fiche Logement'!$I$12</definedName>
    <definedName name="F_log_assurance_num">'fiche Logement'!$F$12</definedName>
    <definedName name="F_log_cable">'fiche Logement'!$E$18</definedName>
    <definedName name="F_log_cave">'fiche Logement'!$B$8</definedName>
    <definedName name="F_log_cave_num">'fiche Logement'!$D$8</definedName>
    <definedName name="F_log_cave_numL">'fiche Logement'!$C$8</definedName>
    <definedName name="F_Log_charge_asc">'fiche Logement'!$F$33</definedName>
    <definedName name="F_Log_charge_chauffe">'fiche Logement'!$B$33</definedName>
    <definedName name="F_Log_charge_EC">'fiche Logement'!$F$32</definedName>
    <definedName name="F_Log_charge_EF">'fiche Logement'!$B$32</definedName>
    <definedName name="F_Log_charge_ordure">'fiche Logement'!$I$32</definedName>
    <definedName name="F_log_charges">'fiche Logement'!$I$15</definedName>
    <definedName name="F_log_chemine">'fiche Logement'!$F$11</definedName>
    <definedName name="F_log_chemine_d">'fiche Logement'!$G$11</definedName>
    <definedName name="F_log_coloc">'fiche Logement'!$H$36</definedName>
    <definedName name="F_log_coloc_mail">'fiche Logement'!$H$39</definedName>
    <definedName name="F_log_coloc_nom">'fiche Logement'!$H$37</definedName>
    <definedName name="F_log_coloc_portable">'fiche Logement'!$H$38</definedName>
    <definedName name="F_log_cp">'fiche Logement'!$B$5</definedName>
    <definedName name="F_log_date_achat">'fiche Logement'!$F$14</definedName>
    <definedName name="F_log_date_cons">'fiche Logement'!$B$14</definedName>
    <definedName name="F_log_eau">'fiche Logement'!$B$18</definedName>
    <definedName name="F_log_edf">'fiche Logement'!$E$17</definedName>
    <definedName name="F_log_edf_type">'fiche Logement'!$H$17</definedName>
    <definedName name="F_log_etage">'fiche Logement'!$B$6</definedName>
    <definedName name="F_log_garage">'fiche Logement'!$B$9</definedName>
    <definedName name="F_log_garvelo">'fiche Logement'!$H$9</definedName>
    <definedName name="F_log_gaz">'fiche Logement'!$H$18</definedName>
    <definedName name="F_log_interphone">'fiche Logement'!$B$11</definedName>
    <definedName name="F_log_interphone_num">'fiche Logement'!$D$11</definedName>
    <definedName name="F_log_interphone_numL">'fiche Logement'!$C$11</definedName>
    <definedName name="F_log_loc_apl">'fiche Logement'!$B$40</definedName>
    <definedName name="F_log_loc_apl_paie">'fiche Logement'!$F$40</definedName>
    <definedName name="F_log_loc_caution">'fiche Logement'!$B$41</definedName>
    <definedName name="F_log_loc_entree">'fiche Logement'!$E$36</definedName>
    <definedName name="F_log_loc_etat">'fiche Logement'!$D$36</definedName>
    <definedName name="F_log_loc_mail">'fiche Logement'!$F$38</definedName>
    <definedName name="F_log_loc_nom">'fiche Logement'!$B$37</definedName>
    <definedName name="F_log_loc_portable">'fiche Logement'!$D$38</definedName>
    <definedName name="F_log_loc_tel">'fiche Logement'!$B$38</definedName>
    <definedName name="F_log_loyer_année">'fiche Logement'!$F$23</definedName>
    <definedName name="F_log_loyer_charge">'fiche Logement'!$E$21</definedName>
    <definedName name="F_log_loyer_HC">'fiche Logement'!$B$21</definedName>
    <definedName name="F_log_loyer_indice">'fiche Logement'!$I$23</definedName>
    <definedName name="F_log_loyer_irl">'fiche Logement'!$H$24</definedName>
    <definedName name="F_log_loyer_ref">'fiche Logement'!$D$24</definedName>
    <definedName name="F_log_loyer_revise">'fiche Logement'!$B$22</definedName>
    <definedName name="F_log_loyer_total">'fiche Logement'!$H$21</definedName>
    <definedName name="F_log_loyer_trim">'fiche Logement'!$D$23</definedName>
    <definedName name="F_log_meuble">'fiche Logement'!$F$10</definedName>
    <definedName name="F_log_Nbpieces">'fiche Logement'!$H$7</definedName>
    <definedName name="F_log_nom">'fiche Logement'!$B$3</definedName>
    <definedName name="F_log_num">'fiche Logement'!$I$3</definedName>
    <definedName name="F_log_numappart">'fiche Logement'!$B$7</definedName>
    <definedName name="F_Log_ordure">'fiche Logement'!$I$33</definedName>
    <definedName name="F_log_parking">'fiche Logement'!$F$9</definedName>
    <definedName name="F_log_prix_achat">'fiche Logement'!$H$14</definedName>
    <definedName name="F_log_ptt">'fiche Logement'!$B$17</definedName>
    <definedName name="F_log_superficie">'fiche Logement'!$F$7</definedName>
    <definedName name="F_log_syndic">'fiche Logement'!$B$26</definedName>
    <definedName name="F_log_syndic_adr">'fiche Logement'!$B$27</definedName>
    <definedName name="F_log_syndic_fax">'fiche Logement'!$I$28</definedName>
    <definedName name="F_log_syndic_gest">'fiche Logement'!$B$29</definedName>
    <definedName name="F_log_syndic_mail">'fiche Logement'!$B$28</definedName>
    <definedName name="F_log_syndic_portable">'fiche Logement'!$I$27</definedName>
    <definedName name="F_log_syndic_tel">'fiche Logement'!$I$26</definedName>
    <definedName name="F_Log_TF">'fiche Logement'!$E$15</definedName>
    <definedName name="F_log_TH">'fiche Logement'!$G$15</definedName>
    <definedName name="F_log_vigik">'fiche Logement'!$B$10</definedName>
    <definedName name="F_Logement_Num">'fiche Locataire'!$E$11</definedName>
    <definedName name="F_prop_adr" localSheetId="18">'fiche Charges'!$B$6</definedName>
    <definedName name="F_prop_adr" localSheetId="13">'fiche Proprio_indice'!$B$6</definedName>
    <definedName name="F_prop_adr">'fiche Proprietaire'!$B$6</definedName>
    <definedName name="F_prop_caf">'fiche Proprietaire'!$E$35</definedName>
    <definedName name="F_prop_caf_id1">'fiche Proprietaire'!$R$35</definedName>
    <definedName name="F_prop_caf_id2">'fiche Proprietaire'!$T$35</definedName>
    <definedName name="F_prop_caf_pwd">'fiche Proprietaire'!$AB$35</definedName>
    <definedName name="F_prop_date" localSheetId="18">'fiche Charges'!$B$35</definedName>
    <definedName name="F_prop_date" localSheetId="13">'fiche Proprio_indice'!$B$35</definedName>
    <definedName name="F_prop_date">'fiche Proprietaire'!$B$37</definedName>
    <definedName name="F_prop_fixe" localSheetId="18">'fiche Charges'!$D$7</definedName>
    <definedName name="F_prop_fixe" localSheetId="13">'fiche Proprio_indice'!$D$7</definedName>
    <definedName name="F_prop_fixe">'fiche Proprietaire'!$D$7</definedName>
    <definedName name="F_prop_loc1" localSheetId="18">'fiche Charges'!$H$12</definedName>
    <definedName name="F_prop_loc1" localSheetId="13">'fiche Proprio_indice'!$H$12</definedName>
    <definedName name="F_prop_loc1">'fiche Proprietaire'!$I$12</definedName>
    <definedName name="F_prop_loc2" localSheetId="18">'fiche Charges'!$H$13</definedName>
    <definedName name="F_prop_loc2" localSheetId="13">'fiche Proprio_indice'!$H$13</definedName>
    <definedName name="F_prop_loc2">'fiche Proprietaire'!$I$13</definedName>
    <definedName name="F_prop_loc3" localSheetId="18">'fiche Charges'!$H$14</definedName>
    <definedName name="F_prop_loc3" localSheetId="13">'fiche Proprio_indice'!$H$14</definedName>
    <definedName name="F_prop_loc3">'fiche Proprietaire'!$I$14</definedName>
    <definedName name="F_prop_loc4" localSheetId="18">'fiche Charges'!$H$15</definedName>
    <definedName name="F_prop_loc4" localSheetId="13">'fiche Proprio_indice'!$H$15</definedName>
    <definedName name="F_prop_loc4">'fiche Proprietaire'!$I$15</definedName>
    <definedName name="F_prop_loc5" localSheetId="18">'fiche Charges'!$H$16</definedName>
    <definedName name="F_prop_loc5" localSheetId="13">'fiche Proprio_indice'!$H$16</definedName>
    <definedName name="F_prop_loc5">'fiche Proprietaire'!$I$16</definedName>
    <definedName name="F_prop_mail" localSheetId="18">'fiche Charges'!$B$8</definedName>
    <definedName name="F_prop_mail" localSheetId="13">'fiche Proprio_indice'!$B$8</definedName>
    <definedName name="F_prop_mail">'fiche Proprietaire'!$B$8</definedName>
    <definedName name="F_prop_nom" localSheetId="18">'fiche Charges'!$B$4</definedName>
    <definedName name="F_prop_nom" localSheetId="13">'fiche Proprio_indice'!$B$4</definedName>
    <definedName name="F_prop_nom">'fiche Proprietaire'!$B$4</definedName>
    <definedName name="F_prop_portable" localSheetId="18">'fiche Charges'!#REF!</definedName>
    <definedName name="F_prop_portable" localSheetId="13">'fiche Proprio_indice'!#REF!</definedName>
    <definedName name="F_prop_portable" localSheetId="17">'fiche Proprietaire'!#REF!</definedName>
    <definedName name="F_prop_portable" localSheetId="19">'fiche Proprietaire'!#REF!</definedName>
    <definedName name="F_prop_portable" localSheetId="7">'fiche Proprietaire'!#REF!</definedName>
    <definedName name="F_prop_portable" localSheetId="28">'fiche Proprietaire'!#REF!</definedName>
    <definedName name="F_prop_portable" localSheetId="43">'fiche Proprietaire'!#REF!</definedName>
    <definedName name="F_prop_portable" localSheetId="44">'fiche Proprietaire'!#REF!</definedName>
    <definedName name="F_prop_portable" localSheetId="45">'fiche Proprietaire'!#REF!</definedName>
    <definedName name="F_prop_portable">'fiche Proprietaire'!#REF!</definedName>
    <definedName name="F_quitt_charges" localSheetId="19">'fiche Solde tout compte'!$F$24</definedName>
    <definedName name="F_quitt_charges">'fiche Quittance'!$F$24</definedName>
    <definedName name="F_quitt_date" localSheetId="19">'fiche Solde tout compte'!$E$39</definedName>
    <definedName name="F_quitt_date">'fiche Quittance'!$E$41</definedName>
    <definedName name="F_quitt_locataire" localSheetId="19">'fiche Solde tout compte'!$F$12</definedName>
    <definedName name="F_quitt_locataire">'fiche Quittance'!$F$12</definedName>
    <definedName name="F_quitt_log_adr" localSheetId="19">'fiche Solde tout compte'!$F$14</definedName>
    <definedName name="F_quitt_log_adr">'fiche Quittance'!$F$14</definedName>
    <definedName name="F_quitt_log_adr1" localSheetId="19">'fiche Solde tout compte'!$F$15</definedName>
    <definedName name="F_quitt_log_adr1">'fiche Quittance'!$F$15</definedName>
    <definedName name="F_quitt_logement" localSheetId="19">'fiche Solde tout compte'!$A$14</definedName>
    <definedName name="F_quitt_logement">'fiche Quittance'!$A$14</definedName>
    <definedName name="F_quitt_loyer" localSheetId="19">'fiche Solde tout compte'!$F$23</definedName>
    <definedName name="F_quitt_loyer">'fiche Quittance'!$F$23</definedName>
    <definedName name="F_quitt_mois" localSheetId="19">'fiche Solde tout compte'!$G$3</definedName>
    <definedName name="F_quitt_mois">'fiche Quittance'!$G$3</definedName>
    <definedName name="F_quitt_nom_coloc">'fiche Quittance'!$B$29</definedName>
    <definedName name="F_quitt_nom_loc">'fiche Quittance'!$B$28</definedName>
    <definedName name="F_quitt_pai_apl" localSheetId="19">'fiche Solde tout compte'!$G$26</definedName>
    <definedName name="F_quitt_pai_apl">'fiche Quittance'!$G$26</definedName>
    <definedName name="F_quitt_pai_apld" localSheetId="19">'fiche Solde tout compte'!$E$26</definedName>
    <definedName name="F_quitt_pai_apld">'fiche Quittance'!$E$26</definedName>
    <definedName name="F_quitt_pai_coloc">'fiche Quittance'!$G$29</definedName>
    <definedName name="F_quitt_pai_coloc_date">'fiche Quittance'!$E$29</definedName>
    <definedName name="F_quitt_pai_loc" localSheetId="19">'fiche Solde tout compte'!$G$27</definedName>
    <definedName name="F_quitt_pai_loc">'fiche Quittance'!$G$28</definedName>
    <definedName name="F_quitt_pai_loc_date" localSheetId="19">'fiche Solde tout compte'!$E$27</definedName>
    <definedName name="F_quitt_pai_loc_date">'fiche Quittance'!$E$28</definedName>
    <definedName name="F_quitt_remarques">'fiche Quittance'!$B$31</definedName>
    <definedName name="F_quitt_remise" localSheetId="19">'fiche Solde tout compte'!$G$28</definedName>
    <definedName name="F_quitt_remise">'fiche Quittance'!$G$30</definedName>
    <definedName name="Ind1_connu">indices!$B$23</definedName>
    <definedName name="Ind2_connu">indices!$C$23</definedName>
    <definedName name="Ind3_connu">indices!$D$23</definedName>
    <definedName name="Ind4_connu">indices!$E$23</definedName>
    <definedName name="indic_trim">indices!$B$2:$E$2</definedName>
    <definedName name="Liste_appart" localSheetId="7">Logement_charges!$B$4:$B$8</definedName>
    <definedName name="Liste_appart">Logement!$C$4:$C$8</definedName>
    <definedName name="Liste_archives" localSheetId="7">Logement_charges!#REF!</definedName>
    <definedName name="Liste_archives">Logement!$D$14:$D$19</definedName>
    <definedName name="Loc_01">Old_recap!$L$7</definedName>
    <definedName name="Loc_02">Old_recap!$L$8</definedName>
    <definedName name="Loc_03">Old_recap!$L$9</definedName>
    <definedName name="Loc_04">Old_recap!$L$10</definedName>
    <definedName name="Loc_05">Old_recap!$L$11</definedName>
    <definedName name="Loc_06">Old_recap!$L$12</definedName>
    <definedName name="Loc_07">Old_recap!$L$13</definedName>
    <definedName name="Loc_08">Old_recap!$L$14</definedName>
    <definedName name="Loc_09">Old_recap!$L$15</definedName>
    <definedName name="Loc_10">Old_recap!$L$16</definedName>
    <definedName name="Loc_11">Old_recap!$L$17</definedName>
    <definedName name="Loc_12">Old_recap!$L$18</definedName>
    <definedName name="Loc_actuel">Old_recap!$L$25</definedName>
    <definedName name="Loc_histo">Locataires!$C$5:$AE$8</definedName>
    <definedName name="Locataires">Old_recap!$T$12</definedName>
    <definedName name="Log_adr">Old_recap!$F$3</definedName>
    <definedName name="Log_cp">Old_recap!$J$3</definedName>
    <definedName name="Log_nom">Old_recap!$C$3</definedName>
    <definedName name="Log_proprio">Old_recap!$C$2</definedName>
    <definedName name="logadr">Attestation_L1!$F$14</definedName>
    <definedName name="loy_01">Old_recap!$B$7</definedName>
    <definedName name="Loy_02">Old_recap!$B$8</definedName>
    <definedName name="Loy_03">Old_recap!$B$9</definedName>
    <definedName name="Loy_04">Old_recap!$B$10</definedName>
    <definedName name="Loy_05">Old_recap!$B$11</definedName>
    <definedName name="Loy_06">Old_recap!$B$12</definedName>
    <definedName name="loy_07">Old_recap!$B$13</definedName>
    <definedName name="Loy_08">Old_recap!$B$14</definedName>
    <definedName name="Loy_09">Old_recap!$B$15</definedName>
    <definedName name="Loy_10">Old_recap!$B$16</definedName>
    <definedName name="Loy_11">Old_recap!$B$17</definedName>
    <definedName name="Loy_12">Old_recap!$B$18</definedName>
    <definedName name="mel_01">Old_recap!$V$7</definedName>
    <definedName name="mel_02">Old_recap!$V$8</definedName>
    <definedName name="mel_03">Old_recap!$V$9</definedName>
    <definedName name="mel_04">Old_recap!$V$10</definedName>
    <definedName name="mel_05">Old_recap!$V$11</definedName>
    <definedName name="mel_06">Old_recap!$V$12</definedName>
    <definedName name="mel_07">Old_recap!$V$13</definedName>
    <definedName name="mel_08">Old_recap!$V$14</definedName>
    <definedName name="mel_09">Old_recap!$V$15</definedName>
    <definedName name="mel_10">Old_recap!$V$16</definedName>
    <definedName name="mel_11">Old_recap!$V$17</definedName>
    <definedName name="mel_12">Old_recap!$V$18</definedName>
    <definedName name="mel_rel_01">Old_recap!$W$7</definedName>
    <definedName name="mel_rel_02">Old_recap!$W$8</definedName>
    <definedName name="mel_rel_03">Old_recap!$W$9</definedName>
    <definedName name="mel_rel_04">Old_recap!$W$10</definedName>
    <definedName name="mel_rel_05">Old_recap!$W$11</definedName>
    <definedName name="mel_rel_06">Old_recap!$W$12</definedName>
    <definedName name="mel_rel_07">Old_recap!$W$13</definedName>
    <definedName name="mel_rel_08">Old_recap!$W$14</definedName>
    <definedName name="mel_rel_09">Old_recap!$W$15</definedName>
    <definedName name="mel_rel_10">Old_recap!$W$16</definedName>
    <definedName name="mel_rel_11">Old_recap!$W$17</definedName>
    <definedName name="mel_rel_12">Old_recap!$W$18</definedName>
    <definedName name="moisq_adresse">Old_Mois!$F$14</definedName>
    <definedName name="moisq_cp">Old_Mois!$F$15</definedName>
    <definedName name="moisq_locataire">Old_Mois!$F$12</definedName>
    <definedName name="moisq_logement">Old_Mois!$A$14</definedName>
    <definedName name="moisq_mois">Old_Mois!$G$3</definedName>
    <definedName name="Oui_Non">indices!$A$29:$A$30</definedName>
    <definedName name="prop_adr">Proprietaire!$C$3</definedName>
    <definedName name="prop_adr1">Proprietaire!$C$4</definedName>
    <definedName name="prop_caf">Proprietaire!$C$16</definedName>
    <definedName name="prop_caf_id1">Proprietaire!$C$17</definedName>
    <definedName name="prop_caf_id2">Proprietaire!$D$17</definedName>
    <definedName name="prop_caf_pwd">Proprietaire!$C$18</definedName>
    <definedName name="prop_cp">Proprietaire!$C$5</definedName>
    <definedName name="prop_mail">Proprietaire!$C$11</definedName>
    <definedName name="prop_mail_lib" localSheetId="7">Logement_charges!$C$15</definedName>
    <definedName name="prop_mail_lib">parm!$B$23</definedName>
    <definedName name="prop_nom">Proprietaire!$C$2</definedName>
    <definedName name="prop_portable">Proprietaire!$C$9</definedName>
    <definedName name="prop_portable_lib" localSheetId="7">Logement_charges!$C$14</definedName>
    <definedName name="prop_portable_lib">parm!$B$22</definedName>
    <definedName name="prop_tel">Proprietaire!$C$8</definedName>
    <definedName name="prop_tel_lib" localSheetId="18">Logement!#REF!</definedName>
    <definedName name="prop_tel_lib" localSheetId="13">Logement!#REF!</definedName>
    <definedName name="prop_tel_lib" localSheetId="17">Logement!#REF!</definedName>
    <definedName name="prop_tel_lib" localSheetId="19">Logement!#REF!</definedName>
    <definedName name="prop_tel_lib" localSheetId="7">Logement_charges!#REF!</definedName>
    <definedName name="prop_tel_lib" localSheetId="43">Logement!#REF!</definedName>
    <definedName name="prop_tel_lib" localSheetId="44">Logement!#REF!</definedName>
    <definedName name="prop_tel_lib" localSheetId="45">Logement!#REF!</definedName>
    <definedName name="prop_tel_lib">Logement!#REF!</definedName>
    <definedName name="prop_ville">Proprietaire!$C$6</definedName>
    <definedName name="quitt_01">Old_recap!$K$7</definedName>
    <definedName name="quitt_02">Old_recap!$K$8</definedName>
    <definedName name="quitt_03">Old_recap!$K$9</definedName>
    <definedName name="quitt_04">Old_recap!$K$10</definedName>
    <definedName name="quitt_05">Old_recap!$K$11</definedName>
    <definedName name="quitt_06">Old_recap!$K$12</definedName>
    <definedName name="quitt_07">Old_recap!$K$13</definedName>
    <definedName name="quitt_08">Old_recap!$K$14</definedName>
    <definedName name="quitt_09">Old_recap!$K$15</definedName>
    <definedName name="quitt_10">Old_recap!$K$16</definedName>
    <definedName name="quitt_11">Old_recap!$K$17</definedName>
    <definedName name="quitt_12">Old_recap!$K$18</definedName>
    <definedName name="sig_aout">Old_recap!$T$14</definedName>
    <definedName name="sig_avril">Old_recap!$T$10</definedName>
    <definedName name="sig_dec">Old_recap!$T$18</definedName>
    <definedName name="sig_fev">Old_recap!$T$8</definedName>
    <definedName name="sig_janv">Old_recap!$T$7</definedName>
    <definedName name="sig_juill">Old_recap!$T$13</definedName>
    <definedName name="sig_juin">Old_recap!$T$12</definedName>
    <definedName name="sig_mai">Old_recap!$T$11</definedName>
    <definedName name="sig_mars">Old_recap!$T$9</definedName>
    <definedName name="sig_nov">Old_recap!$T$17</definedName>
    <definedName name="sig_oct">Old_recap!$T$16</definedName>
    <definedName name="sig_sept">Old_recap!$T$15</definedName>
    <definedName name="tt">'fiche Locataire'!#REF!</definedName>
    <definedName name="ttt">'fiche Locataire'!#REF!</definedName>
    <definedName name="ttttt">'fiche Locataire'!#REF!</definedName>
    <definedName name="ttttttttttt">'fiche Locataire'!#REF!</definedName>
    <definedName name="Var_locat_no">parm!$B$11</definedName>
    <definedName name="Var_locat_nom">parm!$B$12</definedName>
    <definedName name="Var_locat_numlVar_locat_numl">parm!$B$13</definedName>
    <definedName name="Var_log_charge">parm!$B$7</definedName>
    <definedName name="Var_log_lib">parm!$B$5</definedName>
    <definedName name="Var_log_loyer">parm!$B$6</definedName>
    <definedName name="Var_log_no">parm!$B$4</definedName>
    <definedName name="Var_log_numl">parm!$B$8</definedName>
    <definedName name="Var_trace">parm!$B$17</definedName>
    <definedName name="Var_trace_det">parm!$B$18</definedName>
    <definedName name="x_1">'fiche Locataire'!#REF!</definedName>
    <definedName name="x_2">'fiche Proprietaire'!#REF!</definedName>
    <definedName name="x_3">Logement!#REF!</definedName>
  </definedNames>
  <calcPr calcId="152511"/>
</workbook>
</file>

<file path=xl/calcChain.xml><?xml version="1.0" encoding="utf-8"?>
<calcChain xmlns="http://schemas.openxmlformats.org/spreadsheetml/2006/main">
  <c r="B7" i="15" l="1"/>
  <c r="B6" i="15"/>
  <c r="B5" i="15"/>
  <c r="X35" i="51" l="1"/>
  <c r="B35" i="51"/>
  <c r="A23" i="51"/>
  <c r="A24" i="51" s="1"/>
  <c r="A25" i="51" s="1"/>
  <c r="A26" i="51" s="1"/>
  <c r="A27" i="51" s="1"/>
  <c r="A28" i="51" s="1"/>
  <c r="A29" i="51" s="1"/>
  <c r="A30" i="51" s="1"/>
  <c r="A31" i="51" s="1"/>
  <c r="A32" i="51" s="1"/>
  <c r="A33" i="51" s="1"/>
  <c r="A22" i="51"/>
  <c r="A16" i="51"/>
  <c r="E16" i="51" s="1"/>
  <c r="F15" i="51"/>
  <c r="A15" i="51"/>
  <c r="E15" i="51" s="1"/>
  <c r="F14" i="51"/>
  <c r="A14" i="51"/>
  <c r="E14" i="51" s="1"/>
  <c r="F13" i="51"/>
  <c r="E13" i="51"/>
  <c r="A13" i="51"/>
  <c r="F12" i="51"/>
  <c r="E12" i="51"/>
  <c r="A12" i="51"/>
  <c r="B8" i="51"/>
  <c r="J7" i="51"/>
  <c r="D7" i="51"/>
  <c r="U6" i="51"/>
  <c r="R6" i="51"/>
  <c r="J6" i="51"/>
  <c r="B6" i="51"/>
  <c r="B4" i="51"/>
  <c r="F16" i="51" l="1"/>
  <c r="A22" i="50"/>
  <c r="A23" i="50" s="1"/>
  <c r="A24" i="50" s="1"/>
  <c r="A25" i="50" s="1"/>
  <c r="A26" i="50" s="1"/>
  <c r="A27" i="50" s="1"/>
  <c r="A28" i="50" s="1"/>
  <c r="A29" i="50" s="1"/>
  <c r="A30" i="50" s="1"/>
  <c r="A31" i="50" s="1"/>
  <c r="A32" i="50" s="1"/>
  <c r="A33" i="50" s="1"/>
  <c r="X35" i="50"/>
  <c r="B35" i="50"/>
  <c r="A16" i="50"/>
  <c r="F15" i="50"/>
  <c r="A15" i="50"/>
  <c r="E15" i="50" s="1"/>
  <c r="F14" i="50"/>
  <c r="A14" i="50"/>
  <c r="F13" i="50"/>
  <c r="E13" i="50"/>
  <c r="A13" i="50"/>
  <c r="F12" i="50"/>
  <c r="E12" i="50"/>
  <c r="A12" i="50"/>
  <c r="B8" i="50"/>
  <c r="J7" i="50"/>
  <c r="D7" i="50"/>
  <c r="U6" i="50"/>
  <c r="R6" i="50"/>
  <c r="J6" i="50"/>
  <c r="B6" i="50"/>
  <c r="B4" i="50"/>
  <c r="F16" i="50" l="1"/>
  <c r="E14" i="50"/>
  <c r="E16" i="50"/>
  <c r="R33" i="37"/>
  <c r="L33" i="37"/>
  <c r="F33" i="37"/>
  <c r="U30" i="20" l="1"/>
  <c r="T30" i="20"/>
  <c r="R30" i="20"/>
  <c r="U29" i="20"/>
  <c r="T29" i="20"/>
  <c r="R29" i="20"/>
  <c r="U28" i="20"/>
  <c r="T28" i="20"/>
  <c r="R28" i="20"/>
  <c r="U27" i="20"/>
  <c r="T27" i="20"/>
  <c r="R27" i="20"/>
  <c r="U26" i="20"/>
  <c r="T26" i="20"/>
  <c r="R26" i="20"/>
  <c r="U25" i="20"/>
  <c r="T25" i="20"/>
  <c r="R25" i="20"/>
  <c r="U24" i="20"/>
  <c r="T24" i="20"/>
  <c r="R24" i="20"/>
  <c r="U23" i="20"/>
  <c r="T23" i="20"/>
  <c r="R23" i="20"/>
  <c r="U22" i="20"/>
  <c r="T22" i="20"/>
  <c r="R22" i="20"/>
  <c r="U21" i="20"/>
  <c r="T21" i="20"/>
  <c r="R21" i="20"/>
  <c r="U20" i="20"/>
  <c r="T20" i="20"/>
  <c r="R20" i="20"/>
  <c r="U19" i="20"/>
  <c r="T19" i="20"/>
  <c r="R19" i="20"/>
  <c r="D28" i="44" l="1"/>
  <c r="D29" i="44" l="1"/>
  <c r="U42" i="1" l="1"/>
  <c r="T42" i="1"/>
  <c r="R42" i="1"/>
  <c r="U41" i="1"/>
  <c r="T41" i="1"/>
  <c r="R41" i="1"/>
  <c r="U40" i="1"/>
  <c r="T40" i="1"/>
  <c r="R40" i="1"/>
  <c r="U39" i="1"/>
  <c r="T39" i="1"/>
  <c r="R39" i="1"/>
  <c r="U38" i="1"/>
  <c r="T38" i="1"/>
  <c r="R38" i="1"/>
  <c r="U37" i="1"/>
  <c r="T37" i="1"/>
  <c r="R37" i="1"/>
  <c r="U36" i="1"/>
  <c r="T36" i="1"/>
  <c r="R36" i="1"/>
  <c r="U35" i="1"/>
  <c r="T35" i="1"/>
  <c r="R35" i="1"/>
  <c r="U34" i="1"/>
  <c r="T34" i="1"/>
  <c r="R34" i="1"/>
  <c r="U33" i="1"/>
  <c r="T33" i="1"/>
  <c r="R33" i="1"/>
  <c r="U32" i="1"/>
  <c r="T32" i="1"/>
  <c r="R32" i="1"/>
  <c r="U31" i="1"/>
  <c r="T31" i="1"/>
  <c r="R31" i="1"/>
  <c r="Z37" i="37"/>
  <c r="U66" i="17" l="1"/>
  <c r="T66" i="17"/>
  <c r="R66" i="17"/>
  <c r="U65" i="17"/>
  <c r="T65" i="17"/>
  <c r="R65" i="17"/>
  <c r="U64" i="17"/>
  <c r="T64" i="17"/>
  <c r="R64" i="17"/>
  <c r="U63" i="17"/>
  <c r="T63" i="17"/>
  <c r="R63" i="17"/>
  <c r="U62" i="17"/>
  <c r="T62" i="17"/>
  <c r="R62" i="17"/>
  <c r="U61" i="17"/>
  <c r="T61" i="17"/>
  <c r="R61" i="17"/>
  <c r="U60" i="17"/>
  <c r="T60" i="17"/>
  <c r="R60" i="17"/>
  <c r="U59" i="17"/>
  <c r="T59" i="17"/>
  <c r="R59" i="17"/>
  <c r="U58" i="17"/>
  <c r="T58" i="17"/>
  <c r="R58" i="17"/>
  <c r="U57" i="17"/>
  <c r="T57" i="17"/>
  <c r="R57" i="17"/>
  <c r="U56" i="17"/>
  <c r="T56" i="17"/>
  <c r="R56" i="17"/>
  <c r="U55" i="17"/>
  <c r="T55" i="17"/>
  <c r="R55" i="17"/>
  <c r="U54" i="17"/>
  <c r="T54" i="17"/>
  <c r="R54" i="17"/>
  <c r="U53" i="17"/>
  <c r="T53" i="17"/>
  <c r="R53" i="17"/>
  <c r="U52" i="17"/>
  <c r="T52" i="17"/>
  <c r="R52" i="17"/>
  <c r="U51" i="17"/>
  <c r="T51" i="17"/>
  <c r="R51" i="17"/>
  <c r="U50" i="17"/>
  <c r="T50" i="17"/>
  <c r="R50" i="17"/>
  <c r="U49" i="17"/>
  <c r="T49" i="17"/>
  <c r="R49" i="17"/>
  <c r="U48" i="17"/>
  <c r="T48" i="17"/>
  <c r="R48" i="17"/>
  <c r="U47" i="17"/>
  <c r="T47" i="17"/>
  <c r="R47" i="17"/>
  <c r="U46" i="17"/>
  <c r="T46" i="17"/>
  <c r="R46" i="17"/>
  <c r="U45" i="17"/>
  <c r="T45" i="17"/>
  <c r="R45" i="17"/>
  <c r="U44" i="17"/>
  <c r="T44" i="17"/>
  <c r="R44" i="17"/>
  <c r="U43" i="17"/>
  <c r="T43" i="17"/>
  <c r="R43" i="17"/>
  <c r="U42" i="17"/>
  <c r="T42" i="17"/>
  <c r="R42" i="17"/>
  <c r="U41" i="17"/>
  <c r="T41" i="17"/>
  <c r="R41" i="17"/>
  <c r="U40" i="17"/>
  <c r="T40" i="17"/>
  <c r="R40" i="17"/>
  <c r="U39" i="17"/>
  <c r="T39" i="17"/>
  <c r="R39" i="17"/>
  <c r="U38" i="17"/>
  <c r="T38" i="17"/>
  <c r="R38" i="17"/>
  <c r="U37" i="17"/>
  <c r="T37" i="17"/>
  <c r="R37" i="17"/>
  <c r="U36" i="17"/>
  <c r="T36" i="17"/>
  <c r="R36" i="17"/>
  <c r="U35" i="17"/>
  <c r="T35" i="17"/>
  <c r="R35" i="17"/>
  <c r="U34" i="17"/>
  <c r="T34" i="17"/>
  <c r="R34" i="17"/>
  <c r="U33" i="17"/>
  <c r="T33" i="17"/>
  <c r="R33" i="17"/>
  <c r="U32" i="17"/>
  <c r="T32" i="17"/>
  <c r="R32" i="17"/>
  <c r="U31" i="17"/>
  <c r="T31" i="17"/>
  <c r="R31" i="17"/>
  <c r="G34" i="45" l="1"/>
  <c r="A7" i="45"/>
  <c r="A6" i="45"/>
  <c r="A5" i="45"/>
  <c r="A3" i="45"/>
  <c r="A2" i="45"/>
  <c r="A1" i="45"/>
  <c r="A16" i="37" l="1"/>
  <c r="AB31" i="37" l="1"/>
  <c r="AB29" i="37"/>
  <c r="AB27" i="37"/>
  <c r="AB25" i="37"/>
  <c r="AB23" i="37"/>
  <c r="AA32" i="37"/>
  <c r="AA30" i="37"/>
  <c r="AA28" i="37"/>
  <c r="AA26" i="37"/>
  <c r="AA24" i="37"/>
  <c r="AA22" i="37"/>
  <c r="AB32" i="37"/>
  <c r="AB30" i="37"/>
  <c r="AB28" i="37"/>
  <c r="AB26" i="37"/>
  <c r="AB24" i="37"/>
  <c r="AB22" i="37"/>
  <c r="AA31" i="37"/>
  <c r="AA29" i="37"/>
  <c r="AA27" i="37"/>
  <c r="AA25" i="37"/>
  <c r="AA23" i="37"/>
  <c r="AA21" i="37"/>
  <c r="D14" i="35"/>
  <c r="D40" i="35"/>
  <c r="G36" i="44" l="1"/>
  <c r="B30" i="44"/>
  <c r="D26" i="44" l="1"/>
  <c r="A7" i="44"/>
  <c r="A6" i="44"/>
  <c r="A5" i="44"/>
  <c r="A3" i="44"/>
  <c r="A2" i="44"/>
  <c r="A1" i="44"/>
  <c r="B26" i="44" l="1"/>
  <c r="R18" i="1"/>
  <c r="J18" i="1" s="1"/>
  <c r="R17" i="1"/>
  <c r="J17" i="1" s="1"/>
  <c r="R16" i="1"/>
  <c r="J16" i="1" s="1"/>
  <c r="R15" i="1"/>
  <c r="J15" i="1" s="1"/>
  <c r="R14" i="1"/>
  <c r="J14" i="1" s="1"/>
  <c r="R13" i="1"/>
  <c r="J13" i="1" s="1"/>
  <c r="R12" i="1"/>
  <c r="J12" i="1" s="1"/>
  <c r="R11" i="1"/>
  <c r="J11" i="1" s="1"/>
  <c r="R10" i="1"/>
  <c r="J10" i="1" s="1"/>
  <c r="R9" i="1"/>
  <c r="J9" i="1" s="1"/>
  <c r="R8" i="1"/>
  <c r="J8" i="1" s="1"/>
  <c r="R7" i="1"/>
  <c r="J7" i="1" s="1"/>
  <c r="I14" i="35" l="1"/>
  <c r="U30" i="42" l="1"/>
  <c r="T30" i="42"/>
  <c r="R30" i="42"/>
  <c r="U29" i="42"/>
  <c r="T29" i="42"/>
  <c r="R29" i="42"/>
  <c r="U28" i="42"/>
  <c r="T28" i="42"/>
  <c r="R28" i="42"/>
  <c r="U27" i="42"/>
  <c r="T27" i="42"/>
  <c r="R27" i="42"/>
  <c r="U26" i="42"/>
  <c r="T26" i="42"/>
  <c r="R26" i="42"/>
  <c r="U25" i="42"/>
  <c r="T25" i="42"/>
  <c r="R25" i="42"/>
  <c r="U24" i="42"/>
  <c r="T24" i="42"/>
  <c r="R24" i="42"/>
  <c r="U23" i="42"/>
  <c r="T23" i="42"/>
  <c r="R23" i="42"/>
  <c r="U22" i="42"/>
  <c r="T22" i="42"/>
  <c r="R22" i="42"/>
  <c r="U21" i="42"/>
  <c r="T21" i="42"/>
  <c r="R21" i="42"/>
  <c r="U20" i="42"/>
  <c r="T20" i="42"/>
  <c r="R20" i="42"/>
  <c r="U19" i="42"/>
  <c r="T19" i="42"/>
  <c r="R19" i="42"/>
  <c r="U18" i="42"/>
  <c r="T18" i="42"/>
  <c r="R18" i="42"/>
  <c r="U17" i="42"/>
  <c r="T17" i="42"/>
  <c r="R17" i="42"/>
  <c r="U16" i="42"/>
  <c r="T16" i="42"/>
  <c r="R16" i="42"/>
  <c r="U15" i="42"/>
  <c r="T15" i="42"/>
  <c r="R15" i="42"/>
  <c r="U14" i="42"/>
  <c r="T14" i="42"/>
  <c r="R14" i="42"/>
  <c r="U13" i="42"/>
  <c r="T13" i="42"/>
  <c r="R13" i="42"/>
  <c r="U12" i="42"/>
  <c r="T12" i="42"/>
  <c r="R12" i="42"/>
  <c r="U11" i="42"/>
  <c r="T11" i="42"/>
  <c r="R11" i="42"/>
  <c r="U10" i="42"/>
  <c r="T10" i="42"/>
  <c r="R10" i="42"/>
  <c r="U9" i="42"/>
  <c r="T9" i="42"/>
  <c r="R9" i="42"/>
  <c r="U8" i="42"/>
  <c r="T8" i="42"/>
  <c r="R8" i="42"/>
  <c r="U7" i="42"/>
  <c r="T7" i="42"/>
  <c r="R7" i="42"/>
  <c r="T96" i="41"/>
  <c r="R96" i="41"/>
  <c r="J96" i="41" s="1"/>
  <c r="T95" i="41"/>
  <c r="R95" i="41"/>
  <c r="J95" i="41" s="1"/>
  <c r="R94" i="41"/>
  <c r="J94" i="41" s="1"/>
  <c r="R93" i="41"/>
  <c r="J93" i="41" s="1"/>
  <c r="R92" i="41"/>
  <c r="J92" i="41" s="1"/>
  <c r="R91" i="41"/>
  <c r="J91" i="41" s="1"/>
  <c r="R90" i="41"/>
  <c r="J90" i="41" s="1"/>
  <c r="R89" i="41"/>
  <c r="J89" i="41" s="1"/>
  <c r="R88" i="41"/>
  <c r="J88" i="41" s="1"/>
  <c r="R87" i="41"/>
  <c r="J87" i="41" s="1"/>
  <c r="R86" i="41"/>
  <c r="J86" i="41" s="1"/>
  <c r="R85" i="41"/>
  <c r="J85" i="41" s="1"/>
  <c r="T75" i="41"/>
  <c r="R75" i="41"/>
  <c r="J75" i="41" s="1"/>
  <c r="T74" i="41"/>
  <c r="R74" i="41"/>
  <c r="J74" i="41" s="1"/>
  <c r="R73" i="41"/>
  <c r="J73" i="41" s="1"/>
  <c r="R72" i="41"/>
  <c r="J72" i="41" s="1"/>
  <c r="R71" i="41"/>
  <c r="J71" i="41" s="1"/>
  <c r="R70" i="41"/>
  <c r="J70" i="41" s="1"/>
  <c r="R69" i="41"/>
  <c r="J69" i="41" s="1"/>
  <c r="R68" i="41"/>
  <c r="J68" i="41" s="1"/>
  <c r="R67" i="41"/>
  <c r="J67" i="41" s="1"/>
  <c r="R66" i="41"/>
  <c r="J66" i="41" s="1"/>
  <c r="R65" i="41"/>
  <c r="J65" i="41" s="1"/>
  <c r="R64" i="41"/>
  <c r="J64" i="41" s="1"/>
  <c r="T54" i="41"/>
  <c r="R54" i="41"/>
  <c r="J54" i="41" s="1"/>
  <c r="T53" i="41"/>
  <c r="R53" i="41"/>
  <c r="J53" i="41" s="1"/>
  <c r="R52" i="41"/>
  <c r="J52" i="41" s="1"/>
  <c r="R51" i="41"/>
  <c r="J51" i="41" s="1"/>
  <c r="R50" i="41"/>
  <c r="J50" i="41" s="1"/>
  <c r="R49" i="41"/>
  <c r="J49" i="41" s="1"/>
  <c r="R48" i="41"/>
  <c r="J48" i="41" s="1"/>
  <c r="R47" i="41"/>
  <c r="J47" i="41" s="1"/>
  <c r="R46" i="41"/>
  <c r="J46" i="41" s="1"/>
  <c r="R45" i="41"/>
  <c r="J45" i="41" s="1"/>
  <c r="R44" i="41"/>
  <c r="J44" i="41" s="1"/>
  <c r="R43" i="41"/>
  <c r="J43" i="41" s="1"/>
  <c r="T20" i="41"/>
  <c r="U18" i="41"/>
  <c r="T18" i="41"/>
  <c r="R18" i="41"/>
  <c r="U17" i="41"/>
  <c r="T17" i="41"/>
  <c r="R17" i="41"/>
  <c r="U16" i="41"/>
  <c r="T16" i="41"/>
  <c r="R16" i="41"/>
  <c r="U15" i="41"/>
  <c r="T15" i="41"/>
  <c r="R15" i="41"/>
  <c r="U14" i="41"/>
  <c r="T14" i="41"/>
  <c r="R14" i="41"/>
  <c r="U13" i="41"/>
  <c r="T13" i="41"/>
  <c r="R13" i="41"/>
  <c r="U12" i="41"/>
  <c r="T12" i="41"/>
  <c r="R12" i="41"/>
  <c r="U11" i="41"/>
  <c r="T11" i="41"/>
  <c r="R11" i="41"/>
  <c r="U10" i="41"/>
  <c r="T10" i="41"/>
  <c r="R10" i="41"/>
  <c r="U9" i="41"/>
  <c r="T9" i="41"/>
  <c r="R9" i="41"/>
  <c r="U8" i="41"/>
  <c r="T8" i="41"/>
  <c r="R8" i="41"/>
  <c r="U7" i="41"/>
  <c r="T7" i="41"/>
  <c r="R7" i="41"/>
  <c r="T42" i="40"/>
  <c r="R42" i="40"/>
  <c r="T41" i="40"/>
  <c r="R41" i="40"/>
  <c r="T40" i="40"/>
  <c r="R40" i="40"/>
  <c r="T39" i="40"/>
  <c r="R39" i="40"/>
  <c r="T38" i="40"/>
  <c r="R38" i="40"/>
  <c r="T37" i="40"/>
  <c r="R37" i="40"/>
  <c r="T36" i="40"/>
  <c r="R36" i="40"/>
  <c r="T35" i="40"/>
  <c r="R35" i="40"/>
  <c r="T34" i="40"/>
  <c r="R34" i="40"/>
  <c r="T33" i="40"/>
  <c r="R33" i="40"/>
  <c r="T32" i="40"/>
  <c r="R32" i="40"/>
  <c r="T31" i="40"/>
  <c r="R31" i="40"/>
  <c r="T30" i="40"/>
  <c r="R30" i="40"/>
  <c r="T29" i="40"/>
  <c r="R29" i="40"/>
  <c r="T28" i="40"/>
  <c r="R28" i="40"/>
  <c r="T27" i="40"/>
  <c r="R27" i="40"/>
  <c r="T26" i="40"/>
  <c r="R26" i="40"/>
  <c r="T25" i="40"/>
  <c r="R25" i="40"/>
  <c r="T24" i="40"/>
  <c r="R24" i="40"/>
  <c r="T23" i="40"/>
  <c r="R23" i="40"/>
  <c r="T22" i="40"/>
  <c r="R22" i="40"/>
  <c r="T21" i="40"/>
  <c r="R21" i="40"/>
  <c r="T20" i="40"/>
  <c r="R20" i="40"/>
  <c r="T19" i="40"/>
  <c r="R19" i="40"/>
  <c r="T18" i="40"/>
  <c r="R18" i="40"/>
  <c r="T17" i="40"/>
  <c r="R17" i="40"/>
  <c r="T16" i="40"/>
  <c r="R16" i="40"/>
  <c r="T15" i="40"/>
  <c r="R15" i="40"/>
  <c r="T14" i="40"/>
  <c r="R14" i="40"/>
  <c r="T13" i="40"/>
  <c r="R13" i="40"/>
  <c r="T12" i="40"/>
  <c r="R12" i="40"/>
  <c r="T11" i="40"/>
  <c r="R11" i="40"/>
  <c r="T10" i="40"/>
  <c r="R10" i="40"/>
  <c r="T9" i="40"/>
  <c r="R9" i="40"/>
  <c r="T8" i="40"/>
  <c r="R8" i="40"/>
  <c r="T7" i="40"/>
  <c r="R7" i="40"/>
  <c r="U30" i="17" l="1"/>
  <c r="T30" i="17"/>
  <c r="R30" i="17"/>
  <c r="U29" i="17"/>
  <c r="T29" i="17"/>
  <c r="R29" i="17"/>
  <c r="U28" i="17"/>
  <c r="T28" i="17"/>
  <c r="R28" i="17"/>
  <c r="U27" i="17"/>
  <c r="T27" i="17"/>
  <c r="R27" i="17"/>
  <c r="U26" i="17"/>
  <c r="T26" i="17"/>
  <c r="R26" i="17"/>
  <c r="U25" i="17"/>
  <c r="T25" i="17"/>
  <c r="R25" i="17"/>
  <c r="U24" i="17"/>
  <c r="T24" i="17"/>
  <c r="R24" i="17"/>
  <c r="U23" i="17"/>
  <c r="T23" i="17"/>
  <c r="R23" i="17"/>
  <c r="U22" i="17"/>
  <c r="T22" i="17"/>
  <c r="R22" i="17"/>
  <c r="U21" i="17"/>
  <c r="T21" i="17"/>
  <c r="R21" i="17"/>
  <c r="U20" i="17"/>
  <c r="T20" i="17"/>
  <c r="R20" i="17"/>
  <c r="U19" i="17"/>
  <c r="T19" i="17"/>
  <c r="R19" i="17"/>
  <c r="T19" i="19" l="1"/>
  <c r="R19" i="19"/>
  <c r="T18" i="19" l="1"/>
  <c r="R18" i="19"/>
  <c r="T17" i="19"/>
  <c r="R17" i="19"/>
  <c r="T16" i="19"/>
  <c r="R16" i="19"/>
  <c r="T15" i="19"/>
  <c r="R15" i="19"/>
  <c r="T14" i="19"/>
  <c r="R14" i="19"/>
  <c r="T13" i="19"/>
  <c r="R13" i="19"/>
  <c r="T12" i="19"/>
  <c r="R12" i="19"/>
  <c r="T11" i="19"/>
  <c r="R11" i="19"/>
  <c r="T10" i="19"/>
  <c r="R10" i="19"/>
  <c r="T9" i="19"/>
  <c r="R9" i="19"/>
  <c r="T8" i="19"/>
  <c r="R8" i="19"/>
  <c r="T7" i="19"/>
  <c r="R7" i="19"/>
  <c r="AD32" i="37" l="1"/>
  <c r="AD31" i="37"/>
  <c r="AD30" i="37"/>
  <c r="AD29" i="37"/>
  <c r="AD28" i="37"/>
  <c r="AD27" i="37"/>
  <c r="AD26" i="37"/>
  <c r="AD25" i="37"/>
  <c r="AD24" i="37"/>
  <c r="AD23" i="37"/>
  <c r="AD22" i="37"/>
  <c r="X32" i="37"/>
  <c r="X31" i="37"/>
  <c r="X30" i="37"/>
  <c r="X29" i="37"/>
  <c r="X28" i="37"/>
  <c r="X27" i="37"/>
  <c r="X26" i="37"/>
  <c r="X25" i="37"/>
  <c r="X24" i="37"/>
  <c r="X23" i="37"/>
  <c r="X22" i="37"/>
  <c r="AD21" i="37"/>
  <c r="X21" i="37"/>
  <c r="R32" i="37"/>
  <c r="R31" i="37"/>
  <c r="R30" i="37"/>
  <c r="R29" i="37"/>
  <c r="R28" i="37"/>
  <c r="R27" i="37"/>
  <c r="R26" i="37"/>
  <c r="R25" i="37"/>
  <c r="R24" i="37"/>
  <c r="R23" i="37"/>
  <c r="R22" i="37"/>
  <c r="R21" i="37"/>
  <c r="L32" i="37"/>
  <c r="L31" i="37"/>
  <c r="L30" i="37"/>
  <c r="L29" i="37"/>
  <c r="L28" i="37"/>
  <c r="L27" i="37"/>
  <c r="L26" i="37"/>
  <c r="L25" i="37"/>
  <c r="L24" i="37"/>
  <c r="L23" i="37"/>
  <c r="L22" i="37"/>
  <c r="L21" i="37"/>
  <c r="F21" i="37"/>
  <c r="F32" i="37"/>
  <c r="F31" i="37"/>
  <c r="F30" i="37"/>
  <c r="F29" i="37"/>
  <c r="F28" i="37"/>
  <c r="F27" i="37"/>
  <c r="F26" i="37"/>
  <c r="F25" i="37"/>
  <c r="F24" i="37"/>
  <c r="F23" i="37"/>
  <c r="F22" i="37"/>
  <c r="F21" i="16"/>
  <c r="K6" i="37" l="1"/>
  <c r="T42" i="19" l="1"/>
  <c r="R42" i="19"/>
  <c r="T41" i="19"/>
  <c r="R41" i="19"/>
  <c r="T40" i="19"/>
  <c r="R40" i="19"/>
  <c r="T39" i="19"/>
  <c r="R39" i="19"/>
  <c r="T38" i="19"/>
  <c r="R38" i="19"/>
  <c r="T37" i="19"/>
  <c r="R37" i="19"/>
  <c r="T36" i="19"/>
  <c r="R36" i="19"/>
  <c r="T35" i="19"/>
  <c r="R35" i="19"/>
  <c r="T34" i="19"/>
  <c r="R34" i="19"/>
  <c r="T33" i="19"/>
  <c r="R33" i="19"/>
  <c r="T32" i="19"/>
  <c r="R32" i="19"/>
  <c r="T31" i="19"/>
  <c r="R31" i="19"/>
  <c r="G3" i="39" l="1"/>
  <c r="G28" i="39"/>
  <c r="B28" i="39" s="1"/>
  <c r="A5" i="39"/>
  <c r="A3" i="39"/>
  <c r="A2" i="39"/>
  <c r="A1" i="39"/>
  <c r="G34" i="39" l="1"/>
  <c r="T18" i="18"/>
  <c r="T17" i="18"/>
  <c r="T16" i="18"/>
  <c r="T15" i="18"/>
  <c r="T14" i="18"/>
  <c r="T13" i="18"/>
  <c r="T12" i="18"/>
  <c r="T11" i="18"/>
  <c r="T10" i="18"/>
  <c r="T9" i="18"/>
  <c r="T7" i="18"/>
  <c r="T30" i="19" l="1"/>
  <c r="R30" i="19"/>
  <c r="T29" i="19"/>
  <c r="R29" i="19"/>
  <c r="T28" i="19"/>
  <c r="R28" i="19"/>
  <c r="T27" i="19"/>
  <c r="R27" i="19"/>
  <c r="T26" i="19"/>
  <c r="R26" i="19"/>
  <c r="T25" i="19"/>
  <c r="R25" i="19"/>
  <c r="T24" i="19"/>
  <c r="R24" i="19"/>
  <c r="T23" i="19"/>
  <c r="R23" i="19"/>
  <c r="T22" i="19"/>
  <c r="R22" i="19"/>
  <c r="T21" i="19"/>
  <c r="R21" i="19"/>
  <c r="T20" i="19"/>
  <c r="R20" i="19"/>
  <c r="C19" i="18" l="1"/>
  <c r="R18" i="18"/>
  <c r="R17" i="18"/>
  <c r="R16" i="18"/>
  <c r="R15" i="18"/>
  <c r="R14" i="18"/>
  <c r="R13" i="18"/>
  <c r="R12" i="18"/>
  <c r="R11" i="18"/>
  <c r="R10" i="18"/>
  <c r="R9" i="18"/>
  <c r="T8" i="18"/>
  <c r="R8" i="18"/>
  <c r="R7" i="18"/>
  <c r="U30" i="1"/>
  <c r="T30" i="1"/>
  <c r="R30" i="1"/>
  <c r="U29" i="1"/>
  <c r="T29" i="1"/>
  <c r="R29" i="1"/>
  <c r="U28" i="1"/>
  <c r="T28" i="1"/>
  <c r="R28" i="1"/>
  <c r="U27" i="1"/>
  <c r="T27" i="1"/>
  <c r="R27" i="1"/>
  <c r="U26" i="1"/>
  <c r="T26" i="1"/>
  <c r="R26" i="1"/>
  <c r="U25" i="1"/>
  <c r="T25" i="1"/>
  <c r="R25" i="1"/>
  <c r="U24" i="1"/>
  <c r="T24" i="1"/>
  <c r="R24" i="1"/>
  <c r="U23" i="1"/>
  <c r="T23" i="1"/>
  <c r="R23" i="1"/>
  <c r="U22" i="1"/>
  <c r="T22" i="1"/>
  <c r="R22" i="1"/>
  <c r="U21" i="1"/>
  <c r="T21" i="1"/>
  <c r="R21" i="1"/>
  <c r="U20" i="1"/>
  <c r="T20" i="1"/>
  <c r="R20" i="1"/>
  <c r="U19" i="1"/>
  <c r="T19" i="1"/>
  <c r="R19" i="1"/>
  <c r="G26" i="38" l="1"/>
  <c r="D26" i="38" s="1"/>
  <c r="A7" i="38"/>
  <c r="A6" i="38"/>
  <c r="A5" i="38"/>
  <c r="A3" i="38"/>
  <c r="A2" i="38"/>
  <c r="A1" i="38"/>
  <c r="G34" i="38" l="1"/>
  <c r="E26" i="38"/>
  <c r="B26" i="38"/>
  <c r="D38" i="8"/>
  <c r="D38" i="7"/>
  <c r="B37" i="37" l="1"/>
  <c r="B8" i="37"/>
  <c r="K7" i="37"/>
  <c r="D7" i="37"/>
  <c r="W6" i="37"/>
  <c r="T6" i="37"/>
  <c r="B6" i="37"/>
  <c r="B4" i="37"/>
  <c r="A12" i="37"/>
  <c r="A13" i="37"/>
  <c r="A14" i="37"/>
  <c r="E14" i="37" s="1"/>
  <c r="A15" i="37"/>
  <c r="E15" i="37" s="1"/>
  <c r="AC22" i="37" l="1"/>
  <c r="AC24" i="37"/>
  <c r="AC26" i="37"/>
  <c r="AC28" i="37"/>
  <c r="AC30" i="37"/>
  <c r="AC32" i="37"/>
  <c r="AC21" i="37"/>
  <c r="AC23" i="37"/>
  <c r="AC25" i="37"/>
  <c r="AC27" i="37"/>
  <c r="AC29" i="37"/>
  <c r="AC31" i="37"/>
  <c r="E16" i="37"/>
  <c r="F16" i="37"/>
  <c r="AB21" i="37"/>
  <c r="Z18" i="37" l="1"/>
  <c r="T18" i="37"/>
  <c r="N18" i="37"/>
  <c r="H18" i="37"/>
  <c r="E13" i="37"/>
  <c r="E12" i="37"/>
  <c r="F15" i="37"/>
  <c r="F14" i="37"/>
  <c r="F13" i="37"/>
  <c r="F12" i="37"/>
  <c r="B18" i="37"/>
  <c r="A32" i="37"/>
  <c r="A31" i="37"/>
  <c r="A30" i="37"/>
  <c r="A29" i="37"/>
  <c r="A28" i="37"/>
  <c r="A27" i="37"/>
  <c r="A26" i="37"/>
  <c r="A25" i="37"/>
  <c r="A24" i="37"/>
  <c r="A23" i="37"/>
  <c r="A22" i="37"/>
  <c r="A21" i="37"/>
  <c r="AD19" i="37" l="1"/>
  <c r="AB19" i="37"/>
  <c r="Z19" i="37"/>
  <c r="AC19" i="37"/>
  <c r="AA19" i="37"/>
  <c r="G27" i="5"/>
  <c r="E39" i="6" l="1"/>
  <c r="D37" i="5"/>
  <c r="A5" i="13" l="1"/>
  <c r="A5" i="12"/>
  <c r="A5" i="11"/>
  <c r="A5" i="10"/>
  <c r="A5" i="9"/>
  <c r="A5" i="8"/>
  <c r="A5" i="7"/>
  <c r="A5" i="6"/>
  <c r="A5" i="5"/>
  <c r="A5" i="4"/>
  <c r="A5" i="3"/>
  <c r="A5" i="2"/>
  <c r="A3" i="13"/>
  <c r="A3" i="12"/>
  <c r="A3" i="11"/>
  <c r="A3" i="10"/>
  <c r="A3" i="9"/>
  <c r="A3" i="8"/>
  <c r="A3" i="7"/>
  <c r="A3" i="6"/>
  <c r="A3" i="5"/>
  <c r="A3" i="3"/>
  <c r="A3" i="2"/>
  <c r="A3" i="4"/>
  <c r="C2" i="18" l="1"/>
  <c r="D37" i="4" l="1"/>
  <c r="U18" i="20" l="1"/>
  <c r="T18" i="20"/>
  <c r="R18" i="20"/>
  <c r="U17" i="20"/>
  <c r="T17" i="20"/>
  <c r="R17" i="20"/>
  <c r="U16" i="20"/>
  <c r="T16" i="20"/>
  <c r="R16" i="20"/>
  <c r="U15" i="20"/>
  <c r="T15" i="20"/>
  <c r="R15" i="20"/>
  <c r="U14" i="20"/>
  <c r="T14" i="20"/>
  <c r="R14" i="20"/>
  <c r="U13" i="20"/>
  <c r="T13" i="20"/>
  <c r="R13" i="20"/>
  <c r="U12" i="20"/>
  <c r="T12" i="20"/>
  <c r="R12" i="20"/>
  <c r="U11" i="20"/>
  <c r="T11" i="20"/>
  <c r="R11" i="20"/>
  <c r="U10" i="20"/>
  <c r="T10" i="20"/>
  <c r="R10" i="20"/>
  <c r="U9" i="20"/>
  <c r="T9" i="20"/>
  <c r="R9" i="20"/>
  <c r="U8" i="20"/>
  <c r="T8" i="20"/>
  <c r="R8" i="20"/>
  <c r="U7" i="20"/>
  <c r="T7" i="20"/>
  <c r="R7" i="20"/>
  <c r="U18" i="17" l="1"/>
  <c r="T18" i="17"/>
  <c r="R18" i="17"/>
  <c r="U17" i="17"/>
  <c r="T17" i="17"/>
  <c r="R17" i="17"/>
  <c r="U16" i="17"/>
  <c r="T16" i="17"/>
  <c r="R16" i="17"/>
  <c r="U15" i="17"/>
  <c r="T15" i="17"/>
  <c r="R15" i="17"/>
  <c r="U14" i="17"/>
  <c r="T14" i="17"/>
  <c r="R14" i="17"/>
  <c r="U13" i="17"/>
  <c r="T13" i="17"/>
  <c r="R13" i="17"/>
  <c r="U12" i="17"/>
  <c r="T12" i="17"/>
  <c r="R12" i="17"/>
  <c r="U11" i="17"/>
  <c r="T11" i="17"/>
  <c r="R11" i="17"/>
  <c r="U10" i="17"/>
  <c r="T10" i="17"/>
  <c r="R10" i="17"/>
  <c r="U9" i="17"/>
  <c r="T9" i="17"/>
  <c r="R9" i="17"/>
  <c r="U8" i="17"/>
  <c r="T8" i="17"/>
  <c r="R8" i="17"/>
  <c r="U7" i="17"/>
  <c r="T7" i="17"/>
  <c r="R7" i="17"/>
  <c r="U18" i="21" l="1"/>
  <c r="T18" i="21"/>
  <c r="R18" i="21"/>
  <c r="J18" i="21" s="1"/>
  <c r="U17" i="21"/>
  <c r="T17" i="21"/>
  <c r="R17" i="21"/>
  <c r="J17" i="21" s="1"/>
  <c r="U16" i="21"/>
  <c r="T16" i="21"/>
  <c r="R16" i="21"/>
  <c r="J16" i="21" s="1"/>
  <c r="U15" i="21"/>
  <c r="T15" i="21"/>
  <c r="R15" i="21"/>
  <c r="J15" i="21" s="1"/>
  <c r="U14" i="21"/>
  <c r="T14" i="21"/>
  <c r="R14" i="21"/>
  <c r="J14" i="21" s="1"/>
  <c r="U13" i="21"/>
  <c r="T13" i="21"/>
  <c r="R13" i="21"/>
  <c r="J13" i="21" s="1"/>
  <c r="U12" i="21"/>
  <c r="T12" i="21"/>
  <c r="R12" i="21"/>
  <c r="J12" i="21" s="1"/>
  <c r="U11" i="21"/>
  <c r="T11" i="21"/>
  <c r="R11" i="21"/>
  <c r="J11" i="21" s="1"/>
  <c r="U10" i="21"/>
  <c r="T10" i="21"/>
  <c r="R10" i="21"/>
  <c r="J10" i="21" s="1"/>
  <c r="U9" i="21"/>
  <c r="T9" i="21"/>
  <c r="R9" i="21"/>
  <c r="J9" i="21" s="1"/>
  <c r="U8" i="21"/>
  <c r="T8" i="21"/>
  <c r="R8" i="21"/>
  <c r="J8" i="21" s="1"/>
  <c r="U7" i="21"/>
  <c r="T7" i="21"/>
  <c r="R7" i="21"/>
  <c r="J7" i="21" s="1"/>
  <c r="F24" i="14" l="1"/>
  <c r="A7" i="14"/>
  <c r="A6" i="14"/>
  <c r="A5" i="14"/>
  <c r="G3" i="14"/>
  <c r="D38" i="13"/>
  <c r="G28" i="13"/>
  <c r="B28" i="13" s="1"/>
  <c r="G27" i="13"/>
  <c r="E27" i="13"/>
  <c r="G26" i="13"/>
  <c r="E26" i="13" s="1"/>
  <c r="F24" i="13"/>
  <c r="F23" i="13"/>
  <c r="F12" i="13"/>
  <c r="G3" i="13"/>
  <c r="A2" i="13"/>
  <c r="A1" i="13"/>
  <c r="D38" i="12"/>
  <c r="G27" i="12"/>
  <c r="E27" i="12"/>
  <c r="G26" i="12"/>
  <c r="E26" i="12" s="1"/>
  <c r="F24" i="12"/>
  <c r="F23" i="12"/>
  <c r="F12" i="12"/>
  <c r="A7" i="12"/>
  <c r="A6" i="12"/>
  <c r="G3" i="12"/>
  <c r="A2" i="12"/>
  <c r="A1" i="12"/>
  <c r="D38" i="11"/>
  <c r="G27" i="11"/>
  <c r="E27" i="11"/>
  <c r="G26" i="11"/>
  <c r="D26" i="11" s="1"/>
  <c r="F24" i="11"/>
  <c r="F23" i="11"/>
  <c r="F12" i="11"/>
  <c r="A7" i="11"/>
  <c r="A6" i="11"/>
  <c r="G3" i="11"/>
  <c r="A2" i="11"/>
  <c r="A1" i="11"/>
  <c r="D38" i="10"/>
  <c r="G27" i="10"/>
  <c r="E27" i="10"/>
  <c r="G26" i="10"/>
  <c r="E26" i="10" s="1"/>
  <c r="F24" i="10"/>
  <c r="F23" i="10"/>
  <c r="F12" i="10"/>
  <c r="A7" i="10"/>
  <c r="A6" i="10"/>
  <c r="G3" i="10"/>
  <c r="A2" i="10"/>
  <c r="A1" i="10"/>
  <c r="D38" i="9"/>
  <c r="G27" i="9"/>
  <c r="E27" i="9"/>
  <c r="G26" i="9"/>
  <c r="D26" i="9" s="1"/>
  <c r="F24" i="9"/>
  <c r="F23" i="9"/>
  <c r="F12" i="9"/>
  <c r="A7" i="9"/>
  <c r="A6" i="9"/>
  <c r="G3" i="9"/>
  <c r="A2" i="9"/>
  <c r="A1" i="9"/>
  <c r="G27" i="8"/>
  <c r="E27" i="8"/>
  <c r="G26" i="8"/>
  <c r="E26" i="8" s="1"/>
  <c r="F24" i="8"/>
  <c r="F23" i="8"/>
  <c r="F12" i="8"/>
  <c r="A7" i="8"/>
  <c r="A6" i="8"/>
  <c r="G3" i="8"/>
  <c r="A2" i="8"/>
  <c r="A1" i="8"/>
  <c r="G27" i="7"/>
  <c r="E27" i="7"/>
  <c r="G26" i="7"/>
  <c r="D26" i="7" s="1"/>
  <c r="F24" i="7"/>
  <c r="F23" i="7"/>
  <c r="F12" i="7"/>
  <c r="A7" i="7"/>
  <c r="A6" i="7"/>
  <c r="G3" i="7"/>
  <c r="A2" i="7"/>
  <c r="A1" i="7"/>
  <c r="G27" i="6"/>
  <c r="E27" i="6"/>
  <c r="G26" i="6"/>
  <c r="E26" i="6" s="1"/>
  <c r="F24" i="6"/>
  <c r="F23" i="6"/>
  <c r="F12" i="6"/>
  <c r="A7" i="6"/>
  <c r="A6" i="6"/>
  <c r="G3" i="6"/>
  <c r="A2" i="6"/>
  <c r="A1" i="6"/>
  <c r="E27" i="5"/>
  <c r="G26" i="5"/>
  <c r="D26" i="5" s="1"/>
  <c r="F24" i="5"/>
  <c r="F23" i="5"/>
  <c r="F12" i="5"/>
  <c r="A7" i="5"/>
  <c r="A6" i="5"/>
  <c r="G3" i="5"/>
  <c r="A2" i="5"/>
  <c r="A1" i="5"/>
  <c r="G27" i="4"/>
  <c r="E27" i="4"/>
  <c r="G26" i="4"/>
  <c r="E26" i="4" s="1"/>
  <c r="F24" i="4"/>
  <c r="F23" i="4"/>
  <c r="F12" i="4"/>
  <c r="A7" i="4"/>
  <c r="A6" i="4"/>
  <c r="G3" i="4"/>
  <c r="A2" i="4"/>
  <c r="A1" i="4"/>
  <c r="D37" i="3"/>
  <c r="G27" i="3"/>
  <c r="E27" i="3"/>
  <c r="G26" i="3"/>
  <c r="D26" i="3" s="1"/>
  <c r="F24" i="3"/>
  <c r="F23" i="3"/>
  <c r="F12" i="3"/>
  <c r="A7" i="3"/>
  <c r="A6" i="3"/>
  <c r="G3" i="3"/>
  <c r="A2" i="3"/>
  <c r="A1" i="3"/>
  <c r="D37" i="2"/>
  <c r="G27" i="2"/>
  <c r="E27" i="2"/>
  <c r="G26" i="2"/>
  <c r="E26" i="2" s="1"/>
  <c r="F24" i="2"/>
  <c r="F23" i="2"/>
  <c r="F12" i="2"/>
  <c r="A7" i="2"/>
  <c r="A6" i="2"/>
  <c r="G3" i="2"/>
  <c r="A2" i="2"/>
  <c r="A1" i="2"/>
  <c r="AE24" i="16"/>
  <c r="AE21" i="16"/>
  <c r="AE17" i="16"/>
  <c r="AE13" i="16"/>
  <c r="X24" i="16"/>
  <c r="Q24" i="16"/>
  <c r="Q23" i="16"/>
  <c r="Q22" i="16"/>
  <c r="Q21" i="16"/>
  <c r="Q20" i="16"/>
  <c r="Q19" i="16"/>
  <c r="Q18" i="16"/>
  <c r="Q17" i="16"/>
  <c r="Q16" i="16"/>
  <c r="Q15" i="16"/>
  <c r="Q14" i="16"/>
  <c r="Q13" i="16"/>
  <c r="J3" i="18"/>
  <c r="F3" i="18"/>
  <c r="C3" i="18"/>
  <c r="E23" i="23"/>
  <c r="D23" i="23"/>
  <c r="C23" i="23"/>
  <c r="B23" i="23"/>
  <c r="A6" i="23"/>
  <c r="A7" i="23" s="1"/>
  <c r="A8" i="23" s="1"/>
  <c r="A9" i="23" s="1"/>
  <c r="A10" i="23" s="1"/>
  <c r="A11" i="23" s="1"/>
  <c r="A12" i="23" s="1"/>
  <c r="A13" i="23" s="1"/>
  <c r="A14" i="23" s="1"/>
  <c r="A15" i="23" s="1"/>
  <c r="A16" i="23" s="1"/>
  <c r="A17" i="23" s="1"/>
  <c r="A18" i="23" s="1"/>
  <c r="A19" i="23" s="1"/>
  <c r="A20" i="23" s="1"/>
  <c r="B9" i="15"/>
  <c r="B8" i="15"/>
  <c r="B4" i="15"/>
  <c r="AD24" i="16"/>
  <c r="AC24" i="16"/>
  <c r="AB24" i="16"/>
  <c r="AA24" i="16"/>
  <c r="Z24" i="16"/>
  <c r="W24" i="16"/>
  <c r="V24" i="16"/>
  <c r="U24" i="16"/>
  <c r="T24" i="16"/>
  <c r="S24" i="16"/>
  <c r="P24" i="16"/>
  <c r="O24" i="16"/>
  <c r="N24" i="16"/>
  <c r="M24" i="16"/>
  <c r="L24" i="16"/>
  <c r="K24" i="16"/>
  <c r="C24" i="16"/>
  <c r="AE23" i="16"/>
  <c r="AD23" i="16"/>
  <c r="AC23" i="16"/>
  <c r="AB23" i="16"/>
  <c r="AA23" i="16"/>
  <c r="Z23" i="16"/>
  <c r="X23" i="16"/>
  <c r="W23" i="16"/>
  <c r="V23" i="16"/>
  <c r="U23" i="16"/>
  <c r="T23" i="16"/>
  <c r="S23" i="16"/>
  <c r="P23" i="16"/>
  <c r="O23" i="16"/>
  <c r="N23" i="16"/>
  <c r="M23" i="16"/>
  <c r="L23" i="16"/>
  <c r="K23" i="16"/>
  <c r="AE22" i="16"/>
  <c r="AD22" i="16"/>
  <c r="AC22" i="16"/>
  <c r="AB22" i="16"/>
  <c r="AA22" i="16"/>
  <c r="Z22" i="16"/>
  <c r="X22" i="16"/>
  <c r="W22" i="16"/>
  <c r="V22" i="16"/>
  <c r="U22" i="16"/>
  <c r="T22" i="16"/>
  <c r="S22" i="16"/>
  <c r="P22" i="16"/>
  <c r="O22" i="16"/>
  <c r="N22" i="16"/>
  <c r="M22" i="16"/>
  <c r="L22" i="16"/>
  <c r="K22" i="16"/>
  <c r="AD21" i="16"/>
  <c r="AC21" i="16"/>
  <c r="AB21" i="16"/>
  <c r="AA21" i="16"/>
  <c r="Z21" i="16"/>
  <c r="X21" i="16"/>
  <c r="W21" i="16"/>
  <c r="V21" i="16"/>
  <c r="U21" i="16"/>
  <c r="S21" i="16"/>
  <c r="P21" i="16"/>
  <c r="O21" i="16"/>
  <c r="N21" i="16"/>
  <c r="M21" i="16"/>
  <c r="L21" i="16"/>
  <c r="K21" i="16"/>
  <c r="AE20" i="16"/>
  <c r="AD20" i="16"/>
  <c r="AC20" i="16"/>
  <c r="AB20" i="16"/>
  <c r="AA20" i="16"/>
  <c r="Z20" i="16"/>
  <c r="X20" i="16"/>
  <c r="W20" i="16"/>
  <c r="V20" i="16"/>
  <c r="U20" i="16"/>
  <c r="T20" i="16"/>
  <c r="S20" i="16"/>
  <c r="P20" i="16"/>
  <c r="O20" i="16"/>
  <c r="N20" i="16"/>
  <c r="M20" i="16"/>
  <c r="L20" i="16"/>
  <c r="K20" i="16"/>
  <c r="AE19" i="16"/>
  <c r="AD19" i="16"/>
  <c r="AC19" i="16"/>
  <c r="AB19" i="16"/>
  <c r="AA19" i="16"/>
  <c r="Z19" i="16"/>
  <c r="X19" i="16"/>
  <c r="W19" i="16"/>
  <c r="V19" i="16"/>
  <c r="U19" i="16"/>
  <c r="T19" i="16"/>
  <c r="S19" i="16"/>
  <c r="P19" i="16"/>
  <c r="O19" i="16"/>
  <c r="N19" i="16"/>
  <c r="M19" i="16"/>
  <c r="L19" i="16"/>
  <c r="K19" i="16"/>
  <c r="AE18" i="16"/>
  <c r="AD18" i="16"/>
  <c r="AC18" i="16"/>
  <c r="AB18" i="16"/>
  <c r="AA18" i="16"/>
  <c r="Z18" i="16"/>
  <c r="X18" i="16"/>
  <c r="W18" i="16"/>
  <c r="V18" i="16"/>
  <c r="U18" i="16"/>
  <c r="T18" i="16"/>
  <c r="S18" i="16"/>
  <c r="P18" i="16"/>
  <c r="O18" i="16"/>
  <c r="N18" i="16"/>
  <c r="M18" i="16"/>
  <c r="L18" i="16"/>
  <c r="K18" i="16"/>
  <c r="AD17" i="16"/>
  <c r="AC17" i="16"/>
  <c r="AB17" i="16"/>
  <c r="AA17" i="16"/>
  <c r="Z17" i="16"/>
  <c r="X17" i="16"/>
  <c r="W17" i="16"/>
  <c r="V17" i="16"/>
  <c r="U17" i="16"/>
  <c r="T17" i="16"/>
  <c r="S17" i="16"/>
  <c r="P17" i="16"/>
  <c r="O17" i="16"/>
  <c r="N17" i="16"/>
  <c r="M17" i="16"/>
  <c r="L17" i="16"/>
  <c r="K17" i="16"/>
  <c r="AE16" i="16"/>
  <c r="AD16" i="16"/>
  <c r="AC16" i="16"/>
  <c r="AB16" i="16"/>
  <c r="AA16" i="16"/>
  <c r="Z16" i="16"/>
  <c r="X16" i="16"/>
  <c r="W16" i="16"/>
  <c r="V16" i="16"/>
  <c r="U16" i="16"/>
  <c r="T16" i="16"/>
  <c r="S16" i="16"/>
  <c r="P16" i="16"/>
  <c r="O16" i="16"/>
  <c r="N16" i="16"/>
  <c r="M16" i="16"/>
  <c r="L16" i="16"/>
  <c r="K16" i="16"/>
  <c r="AE15" i="16"/>
  <c r="AD15" i="16"/>
  <c r="AC15" i="16"/>
  <c r="AB15" i="16"/>
  <c r="AA15" i="16"/>
  <c r="Z15" i="16"/>
  <c r="X15" i="16"/>
  <c r="W15" i="16"/>
  <c r="V15" i="16"/>
  <c r="U15" i="16"/>
  <c r="T15" i="16"/>
  <c r="S15" i="16"/>
  <c r="P15" i="16"/>
  <c r="O15" i="16"/>
  <c r="N15" i="16"/>
  <c r="M15" i="16"/>
  <c r="L15" i="16"/>
  <c r="K15" i="16"/>
  <c r="AE14" i="16"/>
  <c r="AD14" i="16"/>
  <c r="AC14" i="16"/>
  <c r="AB14" i="16"/>
  <c r="AA14" i="16"/>
  <c r="Z14" i="16"/>
  <c r="X14" i="16"/>
  <c r="W14" i="16"/>
  <c r="V14" i="16"/>
  <c r="U14" i="16"/>
  <c r="T14" i="16"/>
  <c r="S14" i="16"/>
  <c r="P14" i="16"/>
  <c r="O14" i="16"/>
  <c r="N14" i="16"/>
  <c r="M14" i="16"/>
  <c r="L14" i="16"/>
  <c r="K14" i="16"/>
  <c r="AD13" i="16"/>
  <c r="AC13" i="16"/>
  <c r="AB13" i="16"/>
  <c r="AA13" i="16"/>
  <c r="Z13" i="16"/>
  <c r="X13" i="16"/>
  <c r="W13" i="16"/>
  <c r="V13" i="16"/>
  <c r="U13" i="16"/>
  <c r="T13" i="16"/>
  <c r="S13" i="16"/>
  <c r="P13" i="16"/>
  <c r="I13" i="16"/>
  <c r="D12" i="16"/>
  <c r="H11" i="16"/>
  <c r="G11" i="16"/>
  <c r="F11" i="16"/>
  <c r="I11" i="16" s="1"/>
  <c r="J11" i="16" s="1"/>
  <c r="D11" i="16"/>
  <c r="AN10" i="16"/>
  <c r="AG10" i="16"/>
  <c r="Z10" i="16"/>
  <c r="S10" i="16"/>
  <c r="L10" i="16"/>
  <c r="C9" i="16"/>
  <c r="C8" i="16"/>
  <c r="G13" i="16" l="1"/>
  <c r="H13" i="16" s="1"/>
  <c r="F15" i="39"/>
  <c r="A14" i="39"/>
  <c r="B21" i="14"/>
  <c r="F14" i="39"/>
  <c r="G34" i="7"/>
  <c r="A14" i="11"/>
  <c r="B37" i="28"/>
  <c r="G34" i="11"/>
  <c r="D26" i="12"/>
  <c r="D26" i="13"/>
  <c r="G34" i="3"/>
  <c r="G34" i="6"/>
  <c r="B26" i="6"/>
  <c r="D26" i="8"/>
  <c r="D26" i="6"/>
  <c r="D26" i="10"/>
  <c r="G34" i="2"/>
  <c r="D26" i="2"/>
  <c r="D26" i="4"/>
  <c r="G34" i="10"/>
  <c r="B26" i="10"/>
  <c r="N26" i="16"/>
  <c r="B26" i="2"/>
  <c r="A14" i="5"/>
  <c r="A14" i="9"/>
  <c r="O26" i="16"/>
  <c r="U26" i="16"/>
  <c r="T26" i="16"/>
  <c r="AA26" i="16"/>
  <c r="A14" i="3"/>
  <c r="G34" i="4"/>
  <c r="B26" i="4"/>
  <c r="G34" i="5"/>
  <c r="A14" i="7"/>
  <c r="G34" i="8"/>
  <c r="B26" i="8"/>
  <c r="G34" i="9"/>
  <c r="G34" i="12"/>
  <c r="B26" i="12"/>
  <c r="G34" i="13"/>
  <c r="B26" i="13"/>
  <c r="B4" i="28"/>
  <c r="B6" i="28"/>
  <c r="B8" i="28"/>
  <c r="B10" i="28"/>
  <c r="B13" i="28"/>
  <c r="B15" i="28"/>
  <c r="G15" i="28"/>
  <c r="D16" i="28"/>
  <c r="D19" i="28"/>
  <c r="B20" i="28"/>
  <c r="E21" i="28"/>
  <c r="B23" i="28"/>
  <c r="B24" i="28"/>
  <c r="B26" i="28"/>
  <c r="B35" i="28"/>
  <c r="E36" i="28"/>
  <c r="F14" i="11"/>
  <c r="F14" i="9"/>
  <c r="A14" i="8"/>
  <c r="F14" i="7"/>
  <c r="F14" i="5"/>
  <c r="F14" i="3"/>
  <c r="B3" i="28"/>
  <c r="B5" i="28"/>
  <c r="B7" i="28"/>
  <c r="B9" i="28"/>
  <c r="B11" i="28"/>
  <c r="E13" i="28"/>
  <c r="D15" i="28"/>
  <c r="B16" i="28"/>
  <c r="B19" i="28"/>
  <c r="C21" i="28"/>
  <c r="G21" i="28"/>
  <c r="G23" i="28"/>
  <c r="B25" i="28"/>
  <c r="G32" i="28"/>
  <c r="B34" i="28"/>
  <c r="E34" i="28"/>
  <c r="B36" i="28"/>
  <c r="A14" i="14"/>
  <c r="A14" i="13"/>
  <c r="A14" i="12"/>
  <c r="A14" i="10"/>
  <c r="A14" i="6"/>
  <c r="A14" i="4"/>
  <c r="A14" i="2"/>
  <c r="F15" i="14"/>
  <c r="F15" i="13"/>
  <c r="F15" i="12"/>
  <c r="F15" i="10"/>
  <c r="F15" i="8"/>
  <c r="F15" i="6"/>
  <c r="F15" i="4"/>
  <c r="F15" i="2"/>
  <c r="F14" i="2"/>
  <c r="F15" i="3"/>
  <c r="E26" i="3"/>
  <c r="B26" i="3"/>
  <c r="F14" i="4"/>
  <c r="F15" i="5"/>
  <c r="E26" i="5"/>
  <c r="B26" i="5"/>
  <c r="F14" i="6"/>
  <c r="F15" i="7"/>
  <c r="E26" i="7"/>
  <c r="B26" i="7"/>
  <c r="F14" i="8"/>
  <c r="F15" i="9"/>
  <c r="E26" i="9"/>
  <c r="B26" i="9"/>
  <c r="F14" i="10"/>
  <c r="F15" i="11"/>
  <c r="E26" i="11"/>
  <c r="B26" i="11"/>
  <c r="F14" i="12"/>
  <c r="F14" i="13"/>
  <c r="F14" i="14"/>
  <c r="F19" i="28" l="1"/>
</calcChain>
</file>

<file path=xl/comments1.xml><?xml version="1.0" encoding="utf-8"?>
<comments xmlns="http://schemas.openxmlformats.org/spreadsheetml/2006/main">
  <authors>
    <author>pap</author>
  </authors>
  <commentList>
    <comment ref="L8" authorId="0" shapeId="0">
      <text>
        <r>
          <rPr>
            <b/>
            <sz val="9"/>
            <color indexed="81"/>
            <rFont val="Tahoma"/>
            <family val="2"/>
          </rPr>
          <t>pap:</t>
        </r>
        <r>
          <rPr>
            <sz val="9"/>
            <color indexed="81"/>
            <rFont val="Tahoma"/>
            <family val="2"/>
          </rPr>
          <t xml:space="preserve">
</t>
        </r>
      </text>
    </comment>
  </commentList>
</comments>
</file>

<file path=xl/comments2.xml><?xml version="1.0" encoding="utf-8"?>
<comments xmlns="http://schemas.openxmlformats.org/spreadsheetml/2006/main">
  <authors>
    <author>CAILLAT Alain</author>
  </authors>
  <commentList>
    <comment ref="B13" authorId="0" shapeId="0">
      <text>
        <r>
          <rPr>
            <b/>
            <sz val="9"/>
            <color indexed="81"/>
            <rFont val="Tahoma"/>
            <family val="2"/>
          </rPr>
          <t>Permet de debloquer le shareware pour les éditions</t>
        </r>
        <r>
          <rPr>
            <sz val="9"/>
            <color indexed="81"/>
            <rFont val="Tahoma"/>
            <family val="2"/>
          </rPr>
          <t xml:space="preserve">
</t>
        </r>
      </text>
    </comment>
  </commentList>
</comments>
</file>

<file path=xl/comments3.xml><?xml version="1.0" encoding="utf-8"?>
<comments xmlns="http://schemas.openxmlformats.org/spreadsheetml/2006/main">
  <authors>
    <author>pap</author>
  </authors>
  <commentList>
    <comment ref="BA2" authorId="0" shapeId="0">
      <text>
        <r>
          <rPr>
            <b/>
            <sz val="9"/>
            <color indexed="81"/>
            <rFont val="Tahoma"/>
            <family val="2"/>
          </rPr>
          <t>Determine le type d'abonnement</t>
        </r>
      </text>
    </comment>
  </commentList>
</comments>
</file>

<file path=xl/comments4.xml><?xml version="1.0" encoding="utf-8"?>
<comments xmlns="http://schemas.openxmlformats.org/spreadsheetml/2006/main">
  <authors>
    <author>pap</author>
  </authors>
  <commentList>
    <comment ref="BK2" authorId="0" shapeId="0">
      <text>
        <r>
          <rPr>
            <b/>
            <sz val="9"/>
            <color indexed="81"/>
            <rFont val="Tahoma"/>
            <family val="2"/>
          </rPr>
          <t>Signature electronique du bail</t>
        </r>
      </text>
    </comment>
  </commentList>
</comments>
</file>

<file path=xl/comments5.xml><?xml version="1.0" encoding="utf-8"?>
<comments xmlns="http://schemas.openxmlformats.org/spreadsheetml/2006/main">
  <authors>
    <author>pap</author>
  </authors>
  <commentList>
    <comment ref="V5" authorId="0" shapeId="0">
      <text>
        <r>
          <rPr>
            <b/>
            <sz val="9"/>
            <color indexed="81"/>
            <rFont val="Tahoma"/>
            <family val="2"/>
          </rPr>
          <t>Envoi E.mail par un double click</t>
        </r>
        <r>
          <rPr>
            <sz val="9"/>
            <color indexed="81"/>
            <rFont val="Tahoma"/>
            <family val="2"/>
          </rPr>
          <t xml:space="preserve">
</t>
        </r>
      </text>
    </comment>
    <comment ref="V17" authorId="0" shapeId="0">
      <text>
        <r>
          <rPr>
            <b/>
            <sz val="9"/>
            <color indexed="81"/>
            <rFont val="Tahoma"/>
            <family val="2"/>
          </rPr>
          <t xml:space="preserve">Relance à tort
</t>
        </r>
      </text>
    </comment>
  </commentList>
</comments>
</file>

<file path=xl/comments6.xml><?xml version="1.0" encoding="utf-8"?>
<comments xmlns="http://schemas.openxmlformats.org/spreadsheetml/2006/main">
  <authors>
    <author>pap</author>
  </authors>
  <commentList>
    <comment ref="V17" authorId="0" shapeId="0">
      <text>
        <r>
          <rPr>
            <b/>
            <sz val="9"/>
            <color indexed="81"/>
            <rFont val="Tahoma"/>
            <family val="2"/>
          </rPr>
          <t xml:space="preserve">Relance à tort
</t>
        </r>
      </text>
    </comment>
  </commentList>
</comments>
</file>

<file path=xl/comments7.xml><?xml version="1.0" encoding="utf-8"?>
<comments xmlns="http://schemas.openxmlformats.org/spreadsheetml/2006/main">
  <authors>
    <author>pap</author>
  </authors>
  <commentList>
    <comment ref="V17" authorId="0" shapeId="0">
      <text>
        <r>
          <rPr>
            <b/>
            <sz val="9"/>
            <color indexed="81"/>
            <rFont val="Tahoma"/>
            <family val="2"/>
          </rPr>
          <t xml:space="preserve">Relance à tort
</t>
        </r>
      </text>
    </comment>
    <comment ref="V29" authorId="0" shapeId="0">
      <text>
        <r>
          <rPr>
            <b/>
            <sz val="9"/>
            <color indexed="81"/>
            <rFont val="Tahoma"/>
            <family val="2"/>
          </rPr>
          <t xml:space="preserve">Relance à tort
</t>
        </r>
      </text>
    </comment>
    <comment ref="V41" authorId="0" shapeId="0">
      <text>
        <r>
          <rPr>
            <b/>
            <sz val="9"/>
            <color indexed="81"/>
            <rFont val="Tahoma"/>
            <family val="2"/>
          </rPr>
          <t xml:space="preserve">Relance à tort
</t>
        </r>
      </text>
    </comment>
  </commentList>
</comments>
</file>

<file path=xl/sharedStrings.xml><?xml version="1.0" encoding="utf-8"?>
<sst xmlns="http://schemas.openxmlformats.org/spreadsheetml/2006/main" count="4008" uniqueCount="944">
  <si>
    <t>Emetteur</t>
  </si>
  <si>
    <t>Mr CAILLAT</t>
  </si>
  <si>
    <t>6 Impasse des Javaux</t>
  </si>
  <si>
    <t>38320 EYBENS</t>
  </si>
  <si>
    <t>Tél. : 04.76.25.77.12</t>
  </si>
  <si>
    <t>Logement</t>
  </si>
  <si>
    <t>Studio le carrare</t>
  </si>
  <si>
    <t>13 Avenue du 8 mai 1945</t>
  </si>
  <si>
    <t>38130 Echrirolles</t>
  </si>
  <si>
    <t>Loyer</t>
  </si>
  <si>
    <t>APL</t>
  </si>
  <si>
    <t>Locataire</t>
  </si>
  <si>
    <t>Solde</t>
  </si>
  <si>
    <t>Remise quittance</t>
  </si>
  <si>
    <r>
      <t>Attestation</t>
    </r>
    <r>
      <rPr>
        <sz val="10"/>
        <rFont val="Arial"/>
        <family val="2"/>
      </rPr>
      <t xml:space="preserve"> Loyers</t>
    </r>
  </si>
  <si>
    <t>Charges</t>
  </si>
  <si>
    <t>Montant</t>
  </si>
  <si>
    <t>Date</t>
  </si>
  <si>
    <t>Mr OUTALBALI Youssef</t>
  </si>
  <si>
    <t>Potentiel</t>
  </si>
  <si>
    <t>Total :</t>
  </si>
  <si>
    <t>Total perçu</t>
  </si>
  <si>
    <t xml:space="preserve">Occupation: </t>
  </si>
  <si>
    <t>QUITTANCE DE LOYER</t>
  </si>
  <si>
    <t>NOM, PRENOM :</t>
  </si>
  <si>
    <t xml:space="preserve"> </t>
  </si>
  <si>
    <t>ADRESSE :</t>
  </si>
  <si>
    <t>Paiement</t>
  </si>
  <si>
    <t>Reste à charge perçu</t>
  </si>
  <si>
    <t>Le :</t>
  </si>
  <si>
    <t>Solde:</t>
  </si>
  <si>
    <t>Eybens le :</t>
  </si>
  <si>
    <t>Attestation DE LOYERS</t>
  </si>
  <si>
    <t>A Eybens le :</t>
  </si>
  <si>
    <t>Adresse</t>
  </si>
  <si>
    <t>étage</t>
  </si>
  <si>
    <t>EAU</t>
  </si>
  <si>
    <t>Digicode</t>
  </si>
  <si>
    <t>Cave</t>
  </si>
  <si>
    <t>Garage</t>
  </si>
  <si>
    <t>Interphone</t>
  </si>
  <si>
    <t>Narvik</t>
  </si>
  <si>
    <t>La bruyere</t>
  </si>
  <si>
    <t>Merlette</t>
  </si>
  <si>
    <t>Achat</t>
  </si>
  <si>
    <t>Syndic</t>
  </si>
  <si>
    <t>V2.01.a</t>
  </si>
  <si>
    <t>Choisir le bien à traiter :</t>
  </si>
  <si>
    <t>Nous sommes le :</t>
  </si>
  <si>
    <t>Code</t>
  </si>
  <si>
    <t>3 rue de narvik</t>
  </si>
  <si>
    <t>38100 Grenoble</t>
  </si>
  <si>
    <t>Code Logement</t>
  </si>
  <si>
    <t>Ristourne</t>
  </si>
  <si>
    <t>Remarques</t>
  </si>
  <si>
    <t>les estaris2</t>
  </si>
  <si>
    <t>En attente</t>
  </si>
  <si>
    <t>43 avenue la bruyere</t>
  </si>
  <si>
    <t>Studio la bruyere</t>
  </si>
  <si>
    <t>F3 Narvik</t>
  </si>
  <si>
    <t>Non</t>
  </si>
  <si>
    <t>Accueil</t>
  </si>
  <si>
    <t>prorata</t>
  </si>
  <si>
    <t>%</t>
  </si>
  <si>
    <t>en attente</t>
  </si>
  <si>
    <t>Charge</t>
  </si>
  <si>
    <t>indice</t>
  </si>
  <si>
    <t>Révision</t>
  </si>
  <si>
    <t xml:space="preserve">Date </t>
  </si>
  <si>
    <t>Derniere révision</t>
  </si>
  <si>
    <t>Année</t>
  </si>
  <si>
    <t>Trimestre</t>
  </si>
  <si>
    <t>Code postal</t>
  </si>
  <si>
    <t>Nom</t>
  </si>
  <si>
    <t>Mode opératoire</t>
  </si>
  <si>
    <t>Trimestres</t>
  </si>
  <si>
    <t>trimestre</t>
  </si>
  <si>
    <t>Récapitulatif</t>
  </si>
  <si>
    <t>Mlle Camélia KORCHIA</t>
  </si>
  <si>
    <t>Attestation loyers</t>
  </si>
  <si>
    <t>Evolution</t>
  </si>
  <si>
    <t>Dernier indice connu</t>
  </si>
  <si>
    <t>Avant de demarrer</t>
  </si>
  <si>
    <t>Coordonnées du proprietaire</t>
  </si>
  <si>
    <t>Denomination des biens gérés (colonnes C4 à N8)</t>
  </si>
  <si>
    <r>
      <t xml:space="preserve">Remplir l'onglet </t>
    </r>
    <r>
      <rPr>
        <b/>
        <sz val="10"/>
        <rFont val="Arial"/>
        <family val="2"/>
      </rPr>
      <t>Logement</t>
    </r>
  </si>
  <si>
    <r>
      <t xml:space="preserve">Remplir l'onglet </t>
    </r>
    <r>
      <rPr>
        <b/>
        <sz val="10"/>
        <rFont val="Arial"/>
        <family val="2"/>
      </rPr>
      <t>indices</t>
    </r>
  </si>
  <si>
    <t>Pour le moment ce n'est qu'a titre informatif</t>
  </si>
  <si>
    <t>Traitement</t>
  </si>
  <si>
    <t>Il faut choisir le bien que l'on veut traiter.</t>
  </si>
  <si>
    <t>Les informations relatives a ce bien sont recupérées</t>
  </si>
  <si>
    <t>Evolution prévue:</t>
  </si>
  <si>
    <t>A. caillat</t>
  </si>
  <si>
    <t>Smer38@yahoo.fr</t>
  </si>
  <si>
    <t xml:space="preserve">Signature </t>
  </si>
  <si>
    <t>Mois</t>
  </si>
  <si>
    <t>Le narvik</t>
  </si>
  <si>
    <t>2éme</t>
  </si>
  <si>
    <t>N° appart</t>
  </si>
  <si>
    <t>Oui</t>
  </si>
  <si>
    <t>Liste de choix</t>
  </si>
  <si>
    <t>Envoi mail</t>
  </si>
  <si>
    <t>Dernière Révision</t>
  </si>
  <si>
    <t>38130 Echirolles</t>
  </si>
  <si>
    <t>3 rue de Narvik</t>
  </si>
  <si>
    <t>Téléphone</t>
  </si>
  <si>
    <t>Portable</t>
  </si>
  <si>
    <t>Mail</t>
  </si>
  <si>
    <t>RIB</t>
  </si>
  <si>
    <t>Date sortie</t>
  </si>
  <si>
    <t>Date entrée</t>
  </si>
  <si>
    <t>Caution</t>
  </si>
  <si>
    <t>Mr OUTALBALI Younsse</t>
  </si>
  <si>
    <t>Mail envoi quittance</t>
  </si>
  <si>
    <t>Relances</t>
  </si>
  <si>
    <t>SMS</t>
  </si>
  <si>
    <t>mails</t>
  </si>
  <si>
    <t>le carrare</t>
  </si>
  <si>
    <t>Récapitulatif des locations</t>
  </si>
  <si>
    <t>Libellé</t>
  </si>
  <si>
    <t>code interne</t>
  </si>
  <si>
    <t>Envoi quittance par mail</t>
  </si>
  <si>
    <t>Vigik</t>
  </si>
  <si>
    <t>date Immeuble</t>
  </si>
  <si>
    <t>Archives</t>
  </si>
  <si>
    <t>Traitement Archive</t>
  </si>
  <si>
    <t>archive 2017</t>
  </si>
  <si>
    <t>V2.02.a</t>
  </si>
  <si>
    <t>Envoi par mail du RIB pour que le locataire fasse le virement de la part de loyer qui lui revient</t>
  </si>
  <si>
    <t>E.mail</t>
  </si>
  <si>
    <t>Mr Ali BEN ABDEL JELIL</t>
  </si>
  <si>
    <t>Janvier</t>
  </si>
  <si>
    <t>Avril</t>
  </si>
  <si>
    <t>Février</t>
  </si>
  <si>
    <t>Mars</t>
  </si>
  <si>
    <t>Novembre</t>
  </si>
  <si>
    <t>Mai</t>
  </si>
  <si>
    <t>Juin</t>
  </si>
  <si>
    <t>Juillet</t>
  </si>
  <si>
    <t>Aout</t>
  </si>
  <si>
    <t>Septembre</t>
  </si>
  <si>
    <t>Octobre</t>
  </si>
  <si>
    <t>Decembre</t>
  </si>
  <si>
    <t>Classeur excel qui permet de gerer les attestations de loyers pour particulier ( maximum 5 logements)</t>
  </si>
  <si>
    <t>seuls les champs en jaune sont saisissables</t>
  </si>
  <si>
    <t>Le traitement est en cours de developpement</t>
  </si>
  <si>
    <r>
      <t>Sur l'onglet</t>
    </r>
    <r>
      <rPr>
        <b/>
        <sz val="10"/>
        <rFont val="Arial"/>
        <family val="2"/>
      </rPr>
      <t xml:space="preserve"> Accueil</t>
    </r>
  </si>
  <si>
    <t>Fevrier</t>
  </si>
  <si>
    <t>attente</t>
  </si>
  <si>
    <t>Youhou</t>
  </si>
  <si>
    <t>narvik</t>
  </si>
  <si>
    <t>1er envoi par mail de la quittance</t>
  </si>
  <si>
    <t>Compteur EDF</t>
  </si>
  <si>
    <r>
      <rPr>
        <b/>
        <i/>
        <sz val="8"/>
        <color rgb="FFFF0000"/>
        <rFont val="Arial"/>
        <family val="2"/>
      </rPr>
      <t>M</t>
    </r>
    <r>
      <rPr>
        <i/>
        <sz val="8"/>
        <rFont val="Arial"/>
        <family val="2"/>
      </rPr>
      <t xml:space="preserve">ail
</t>
    </r>
    <r>
      <rPr>
        <b/>
        <i/>
        <sz val="8"/>
        <color rgb="FFFF0000"/>
        <rFont val="Arial"/>
        <family val="2"/>
      </rPr>
      <t>P</t>
    </r>
    <r>
      <rPr>
        <i/>
        <sz val="8"/>
        <rFont val="Arial"/>
        <family val="2"/>
      </rPr>
      <t>df</t>
    </r>
  </si>
  <si>
    <t>Envoi</t>
  </si>
  <si>
    <r>
      <t xml:space="preserve">Remplir l'onglet </t>
    </r>
    <r>
      <rPr>
        <b/>
        <sz val="10"/>
        <rFont val="Arial"/>
        <family val="2"/>
      </rPr>
      <t>locataires</t>
    </r>
  </si>
  <si>
    <t xml:space="preserve">On va retrouver les coordonnée des locataires </t>
  </si>
  <si>
    <t>precisier s'il accepte de recevoir les quittances par mail, sinon on generera un pdf pour impression et stockage</t>
  </si>
  <si>
    <t>Dans creation pdf finaliser le nom</t>
  </si>
  <si>
    <t>Finir  le dispatch mail/pdf</t>
  </si>
  <si>
    <t>Recap</t>
  </si>
  <si>
    <t>anticiper les relances</t>
  </si>
  <si>
    <t xml:space="preserve">il faut saisir les sommes perçues </t>
  </si>
  <si>
    <t>Génération de la lettre de réévaluation du loyer</t>
  </si>
  <si>
    <t>Génération des relances sur impayés</t>
  </si>
  <si>
    <t>Génération des états des lieux</t>
  </si>
  <si>
    <t>Si vous avez des idées d'amélioration n'hésitez pas à me contacter</t>
  </si>
  <si>
    <t>On peut  imprimer les quittances de loyers</t>
  </si>
  <si>
    <t xml:space="preserve">On peut envoyer des relances </t>
  </si>
  <si>
    <r>
      <t>On peut préparer (click droit colonne '</t>
    </r>
    <r>
      <rPr>
        <b/>
        <sz val="10"/>
        <rFont val="Arial"/>
        <family val="2"/>
      </rPr>
      <t>V</t>
    </r>
    <r>
      <rPr>
        <sz val="10"/>
        <rFont val="Arial"/>
        <family val="2"/>
      </rPr>
      <t xml:space="preserve">' )un envoi par mail des quittances (la soumission de l'email n'est pas automatiser volontairement) </t>
    </r>
    <r>
      <rPr>
        <b/>
        <sz val="10"/>
        <color rgb="FFFF0000"/>
        <rFont val="Arial"/>
        <family val="2"/>
      </rPr>
      <t>ou</t>
    </r>
    <r>
      <rPr>
        <sz val="10"/>
        <rFont val="Arial"/>
        <family val="2"/>
      </rPr>
      <t xml:space="preserve"> générer un fichier pdf si le locataire n'accepte pas les e.mails</t>
    </r>
  </si>
  <si>
    <t>Sur l'onglet recap</t>
  </si>
  <si>
    <t>historique</t>
  </si>
  <si>
    <t>Mise en œuvre relance quittance</t>
  </si>
  <si>
    <t>Demande dispo pour que l'expert passe ainsi que le serrurier</t>
  </si>
  <si>
    <t>Mise a jour tableau recap sur onglet accueil</t>
  </si>
  <si>
    <t>Fiche signalitique</t>
  </si>
  <si>
    <t>Date achat:</t>
  </si>
  <si>
    <t>Date construction:</t>
  </si>
  <si>
    <t>PTT</t>
  </si>
  <si>
    <t>Tel:</t>
  </si>
  <si>
    <t>Gestionnaire</t>
  </si>
  <si>
    <t>Locataire Actuel</t>
  </si>
  <si>
    <t>Historique locataire</t>
  </si>
  <si>
    <t>Entrée</t>
  </si>
  <si>
    <t>Sortie</t>
  </si>
  <si>
    <r>
      <t xml:space="preserve">N° </t>
    </r>
    <r>
      <rPr>
        <sz val="9"/>
        <rFont val="Arial"/>
        <family val="2"/>
      </rPr>
      <t>appartement</t>
    </r>
  </si>
  <si>
    <t>Accès</t>
  </si>
  <si>
    <t>Fiche signalétique appartement</t>
  </si>
  <si>
    <t>Tel</t>
  </si>
  <si>
    <t>adresse</t>
  </si>
  <si>
    <t>contact</t>
  </si>
  <si>
    <t>Construction</t>
  </si>
  <si>
    <t>Mode accés</t>
  </si>
  <si>
    <t>Abonnement</t>
  </si>
  <si>
    <t>Cable</t>
  </si>
  <si>
    <t>Cable:</t>
  </si>
  <si>
    <t xml:space="preserve">PTT : </t>
  </si>
  <si>
    <t>F.S.L.</t>
  </si>
  <si>
    <t>Type paiement</t>
  </si>
  <si>
    <t>FSL</t>
  </si>
  <si>
    <t>Caution:</t>
  </si>
  <si>
    <t>Eau :</t>
  </si>
  <si>
    <t>EDF :</t>
  </si>
  <si>
    <t>Gaz :</t>
  </si>
  <si>
    <t>Mise en ouvre fiche signalitique</t>
  </si>
  <si>
    <t>Gestion mail ou pdf, voir si 'on peut effectuer des controles de coherence</t>
  </si>
  <si>
    <t>Mettre des ecrans de saisie pour Locataire / Logement</t>
  </si>
  <si>
    <t>Gaz</t>
  </si>
  <si>
    <t>Electricité</t>
  </si>
  <si>
    <t>Loyer actuel</t>
  </si>
  <si>
    <t>Indice</t>
  </si>
  <si>
    <t xml:space="preserve">Total : </t>
  </si>
  <si>
    <t>Montant H.C</t>
  </si>
  <si>
    <t>Trim :</t>
  </si>
  <si>
    <t>Année :</t>
  </si>
  <si>
    <t>Valeur :</t>
  </si>
  <si>
    <t>inconnu</t>
  </si>
  <si>
    <t>????</t>
  </si>
  <si>
    <t>Appartement</t>
  </si>
  <si>
    <t>Compteur Eau</t>
  </si>
  <si>
    <t xml:space="preserve">Compteur Gaz </t>
  </si>
  <si>
    <t>Compagnie assurance</t>
  </si>
  <si>
    <t>date attestattion</t>
  </si>
  <si>
    <t/>
  </si>
  <si>
    <t>Assurance</t>
  </si>
  <si>
    <t>Compagnie</t>
  </si>
  <si>
    <t>Type de contrat</t>
  </si>
  <si>
    <t>Chèque</t>
  </si>
  <si>
    <t>loc 6</t>
  </si>
  <si>
    <t>rib05</t>
  </si>
  <si>
    <t>oui</t>
  </si>
  <si>
    <t>Gestion EDF</t>
  </si>
  <si>
    <t>HP/HC</t>
  </si>
  <si>
    <t>Locataires</t>
  </si>
  <si>
    <t>Fiche signalétique Locataire</t>
  </si>
  <si>
    <t>N°</t>
  </si>
  <si>
    <t>Telephone</t>
  </si>
  <si>
    <t>Date sortie:</t>
  </si>
  <si>
    <t>HP :</t>
  </si>
  <si>
    <t>CAF</t>
  </si>
  <si>
    <t>Eau</t>
  </si>
  <si>
    <t>Chaude:</t>
  </si>
  <si>
    <t>Froide :</t>
  </si>
  <si>
    <t>Date attestation</t>
  </si>
  <si>
    <t>Fixe :</t>
  </si>
  <si>
    <t>Portable :</t>
  </si>
  <si>
    <t>Entrée 
H.P.</t>
  </si>
  <si>
    <t>Sortie
H.P.</t>
  </si>
  <si>
    <t>Sortie
H.C..</t>
  </si>
  <si>
    <t>Entrée 
H.C.</t>
  </si>
  <si>
    <t>Entrée
Froide</t>
  </si>
  <si>
    <t>Entrée
Chaude</t>
  </si>
  <si>
    <t>Sortie
Froide</t>
  </si>
  <si>
    <t>Sortie
Chaude</t>
  </si>
  <si>
    <t>fixe</t>
  </si>
  <si>
    <t>Type paiment</t>
  </si>
  <si>
    <t>Date naissance</t>
  </si>
  <si>
    <t>Lieu</t>
  </si>
  <si>
    <t>Etat civil</t>
  </si>
  <si>
    <t>Nationnalié</t>
  </si>
  <si>
    <t>Mode</t>
  </si>
  <si>
    <t>X</t>
  </si>
  <si>
    <t>01/01/2017</t>
  </si>
  <si>
    <t>date MAJ</t>
  </si>
  <si>
    <t>Remarque</t>
  </si>
  <si>
    <t>Depot garanties</t>
  </si>
  <si>
    <t>type versement</t>
  </si>
  <si>
    <t>devpt en cours</t>
  </si>
  <si>
    <t>proprietaire</t>
  </si>
  <si>
    <t>Quittances</t>
  </si>
  <si>
    <t>Loyer :</t>
  </si>
  <si>
    <t>Charges:</t>
  </si>
  <si>
    <t>Envoi quittance:</t>
  </si>
  <si>
    <t>Date Entrée:</t>
  </si>
  <si>
    <t>Garanties</t>
  </si>
  <si>
    <t>N° CAF</t>
  </si>
  <si>
    <t>Date Maj</t>
  </si>
  <si>
    <t>N° dossier</t>
  </si>
  <si>
    <t>Assurances</t>
  </si>
  <si>
    <t>Abonnements</t>
  </si>
  <si>
    <t>Page accueil</t>
  </si>
  <si>
    <t>F_Accueil</t>
  </si>
  <si>
    <t>Affiche les points d'entree aux differents traitement possible</t>
  </si>
  <si>
    <t>Quittance</t>
  </si>
  <si>
    <t>Proprietaire</t>
  </si>
  <si>
    <t>Indices</t>
  </si>
  <si>
    <t>Exit</t>
  </si>
  <si>
    <t>ouverture_quittance</t>
  </si>
  <si>
    <t>affich_quittance (1)</t>
  </si>
  <si>
    <t>F_quittance.Show</t>
  </si>
  <si>
    <t>renseigne les elements pour le premier bien</t>
  </si>
  <si>
    <t>Affiche une quittance</t>
  </si>
  <si>
    <t>Genere un PDF</t>
  </si>
  <si>
    <t>Loc1*</t>
  </si>
  <si>
    <t>Loc 2</t>
  </si>
  <si>
    <t>Loc3</t>
  </si>
  <si>
    <t>loc 4</t>
  </si>
  <si>
    <t>loc 5</t>
  </si>
  <si>
    <t>loc7</t>
  </si>
  <si>
    <t>loc8</t>
  </si>
  <si>
    <t>loc9</t>
  </si>
  <si>
    <t>loc10</t>
  </si>
  <si>
    <t>loc11</t>
  </si>
  <si>
    <t>loc12</t>
  </si>
  <si>
    <t>730</t>
  </si>
  <si>
    <t>Fiche locataire</t>
  </si>
  <si>
    <t>401</t>
  </si>
  <si>
    <t>402</t>
  </si>
  <si>
    <t>403</t>
  </si>
  <si>
    <t>404</t>
  </si>
  <si>
    <t>405</t>
  </si>
  <si>
    <t>406</t>
  </si>
  <si>
    <t>407</t>
  </si>
  <si>
    <t>408</t>
  </si>
  <si>
    <t>409</t>
  </si>
  <si>
    <t>410</t>
  </si>
  <si>
    <t>411</t>
  </si>
  <si>
    <t>41</t>
  </si>
  <si>
    <t>42</t>
  </si>
  <si>
    <t>43</t>
  </si>
  <si>
    <t>44</t>
  </si>
  <si>
    <t>45</t>
  </si>
  <si>
    <t>46</t>
  </si>
  <si>
    <t>47</t>
  </si>
  <si>
    <t>48</t>
  </si>
  <si>
    <t>49</t>
  </si>
  <si>
    <t>50</t>
  </si>
  <si>
    <t>400</t>
  </si>
  <si>
    <t>40</t>
  </si>
  <si>
    <t>51</t>
  </si>
  <si>
    <t>120</t>
  </si>
  <si>
    <t>lib_logement</t>
  </si>
  <si>
    <t>Nom du logement courant</t>
  </si>
  <si>
    <t>Numero du logement courant</t>
  </si>
  <si>
    <t>num_logement</t>
  </si>
  <si>
    <t>num_locataire</t>
  </si>
  <si>
    <t>Numero du locataire courant</t>
  </si>
  <si>
    <t>recherche_locataire</t>
  </si>
  <si>
    <t>sauvegarde_locataire</t>
  </si>
  <si>
    <t>0</t>
  </si>
  <si>
    <t>850</t>
  </si>
  <si>
    <t>272</t>
  </si>
  <si>
    <t>eau carrare</t>
  </si>
  <si>
    <t>ptt carrae</t>
  </si>
  <si>
    <t>290</t>
  </si>
  <si>
    <t>-850</t>
  </si>
  <si>
    <t>Collet_Beillont Grimaud</t>
  </si>
  <si>
    <t>64 Boulevard Maréchal Foch CS 90601</t>
  </si>
  <si>
    <t>04-38-12-44-50</t>
  </si>
  <si>
    <t>Fax</t>
  </si>
  <si>
    <t>Mobile:</t>
  </si>
  <si>
    <t>Fax:</t>
  </si>
  <si>
    <t>portable</t>
  </si>
  <si>
    <t>Fax. Ttente</t>
  </si>
  <si>
    <t>port. Atente</t>
  </si>
  <si>
    <t>4</t>
  </si>
  <si>
    <t>2009</t>
  </si>
  <si>
    <t>117,47</t>
  </si>
  <si>
    <t>30/06/2014</t>
  </si>
  <si>
    <t>04-38-12-06-02</t>
  </si>
  <si>
    <t>Propietaire</t>
  </si>
  <si>
    <t>Adresse complementaire</t>
  </si>
  <si>
    <t>Ville</t>
  </si>
  <si>
    <t>Mails</t>
  </si>
  <si>
    <t>Etendre contrôle numéricité sur les montants  (cf APL_03)</t>
  </si>
  <si>
    <t>Année courante</t>
  </si>
  <si>
    <t>Rib000</t>
  </si>
  <si>
    <t>Zone AB</t>
  </si>
  <si>
    <t>Zone AJ</t>
  </si>
  <si>
    <t>Zone AK</t>
  </si>
  <si>
    <t>Zone AL</t>
  </si>
  <si>
    <t>Mr Ali BEN ABDEL JELIL Ali  _x000D_
Mme BEN ABDEL JELIL Insaf</t>
  </si>
  <si>
    <t>mars</t>
  </si>
  <si>
    <t>851</t>
  </si>
  <si>
    <t>852</t>
  </si>
  <si>
    <t>853</t>
  </si>
  <si>
    <t>854</t>
  </si>
  <si>
    <t>855</t>
  </si>
  <si>
    <t>856</t>
  </si>
  <si>
    <t>857</t>
  </si>
  <si>
    <t>858</t>
  </si>
  <si>
    <t>859</t>
  </si>
  <si>
    <t>860</t>
  </si>
  <si>
    <t>380</t>
  </si>
  <si>
    <t>70</t>
  </si>
  <si>
    <t>01/09/2016</t>
  </si>
  <si>
    <t>ouverture_Saisi_Locataire</t>
  </si>
  <si>
    <t>affich_locataire (num_locataire)</t>
  </si>
  <si>
    <t>40: locataires 142,40 FSL</t>
  </si>
  <si>
    <t>182,4</t>
  </si>
  <si>
    <t>Versements</t>
  </si>
  <si>
    <t>Autres</t>
  </si>
  <si>
    <t xml:space="preserve">Versement : </t>
  </si>
  <si>
    <t>Impression</t>
  </si>
  <si>
    <t>Cmdimprim_Click</t>
  </si>
  <si>
    <t>Call Creation_pdf(98)</t>
  </si>
  <si>
    <t>preparation onglet fiche_locataire</t>
  </si>
  <si>
    <t>Logements</t>
  </si>
  <si>
    <t>CP :</t>
  </si>
  <si>
    <t>Coordonnées</t>
  </si>
  <si>
    <t>Ville:</t>
  </si>
  <si>
    <t>Retenue</t>
  </si>
  <si>
    <t>Date restitution</t>
  </si>
  <si>
    <t>Mode restitution</t>
  </si>
  <si>
    <t>Date reception</t>
  </si>
  <si>
    <t>Date souhaitée</t>
  </si>
  <si>
    <t>Zone AT</t>
  </si>
  <si>
    <t>Zone AU</t>
  </si>
  <si>
    <t>Zone AV</t>
  </si>
  <si>
    <t>Recuperation_info_locataire</t>
  </si>
  <si>
    <t>ecrire_recap (xx)</t>
  </si>
  <si>
    <t>Creation_pdf(98)</t>
  </si>
  <si>
    <t>Creation_pdf(m)</t>
  </si>
  <si>
    <t>PDF</t>
  </si>
  <si>
    <r>
      <t>Q_pdf_</t>
    </r>
    <r>
      <rPr>
        <b/>
        <i/>
        <sz val="9"/>
        <color rgb="FFFF0000"/>
        <rFont val="Arial"/>
        <family val="2"/>
      </rPr>
      <t>mm</t>
    </r>
    <r>
      <rPr>
        <sz val="10"/>
        <rFont val="Arial"/>
        <family val="2"/>
      </rPr>
      <t>_click</t>
    </r>
  </si>
  <si>
    <r>
      <t>Q_mail_gen_</t>
    </r>
    <r>
      <rPr>
        <b/>
        <i/>
        <sz val="9"/>
        <color rgb="FFFF0000"/>
        <rFont val="Arial"/>
        <family val="2"/>
      </rPr>
      <t>mm</t>
    </r>
    <r>
      <rPr>
        <sz val="10"/>
        <rFont val="Arial"/>
        <family val="2"/>
      </rPr>
      <t>_click</t>
    </r>
  </si>
  <si>
    <r>
      <t>Generation_mail(</t>
    </r>
    <r>
      <rPr>
        <i/>
        <sz val="10"/>
        <color rgb="FFFF0000"/>
        <rFont val="Arial"/>
        <family val="2"/>
      </rPr>
      <t>mm</t>
    </r>
    <r>
      <rPr>
        <sz val="10"/>
        <rFont val="Arial"/>
        <family val="2"/>
      </rPr>
      <t>)</t>
    </r>
  </si>
  <si>
    <t>(F_quittance)</t>
  </si>
  <si>
    <t>Impression_Fiche_locataire_click</t>
  </si>
  <si>
    <r>
      <t>Generation_quittance(</t>
    </r>
    <r>
      <rPr>
        <sz val="10"/>
        <color rgb="FFFF0000"/>
        <rFont val="Arial"/>
        <family val="2"/>
      </rPr>
      <t>mm</t>
    </r>
    <r>
      <rPr>
        <sz val="10"/>
        <rFont val="Arial"/>
        <family val="2"/>
      </rPr>
      <t>)</t>
    </r>
  </si>
  <si>
    <t>Adresse logement Q</t>
  </si>
  <si>
    <t>Code postal Q</t>
  </si>
  <si>
    <t>locataire Q</t>
  </si>
  <si>
    <t>prorata temporis</t>
  </si>
  <si>
    <t>1115,70</t>
  </si>
  <si>
    <t>Mlle KORCHIA Camélia</t>
  </si>
  <si>
    <t>18/07/2016</t>
  </si>
  <si>
    <t>329</t>
  </si>
  <si>
    <t>178</t>
  </si>
  <si>
    <t>121</t>
  </si>
  <si>
    <t>-1</t>
  </si>
  <si>
    <t>ss0124440@gmail.com</t>
  </si>
  <si>
    <t>01/11/2016</t>
  </si>
  <si>
    <t>45618</t>
  </si>
  <si>
    <t>448,795</t>
  </si>
  <si>
    <t>Loyer + charge rmois de juillet (15 jours)</t>
  </si>
  <si>
    <t>Depot de garantie</t>
  </si>
  <si>
    <t>Retenue suite à l'état de sortie</t>
  </si>
  <si>
    <t>Remboursement accordé sur facture</t>
  </si>
  <si>
    <t>Mr Ben abdel jelil Ali</t>
  </si>
  <si>
    <t>Solde de tout compte</t>
  </si>
  <si>
    <t>Eau froide</t>
  </si>
  <si>
    <t>Eau chaude</t>
  </si>
  <si>
    <t>Chauffage</t>
  </si>
  <si>
    <t>Ascenseur</t>
  </si>
  <si>
    <t>720</t>
  </si>
  <si>
    <t>130</t>
  </si>
  <si>
    <t>1</t>
  </si>
  <si>
    <t>125,19</t>
  </si>
  <si>
    <t>Eau Chaude</t>
  </si>
  <si>
    <t>Historique locataires</t>
  </si>
  <si>
    <t>Fiche signalétique logement</t>
  </si>
  <si>
    <t>Z_telfixe</t>
  </si>
  <si>
    <t>Z_rib</t>
  </si>
  <si>
    <t>Dernière révision</t>
  </si>
  <si>
    <t>Câble:</t>
  </si>
  <si>
    <t>Z_assur_attest</t>
  </si>
  <si>
    <t>039 601 333784 36</t>
  </si>
  <si>
    <r>
      <t xml:space="preserve">EDF </t>
    </r>
    <r>
      <rPr>
        <b/>
        <sz val="8"/>
        <rFont val="Arial"/>
        <family val="2"/>
      </rPr>
      <t>N° compteur</t>
    </r>
    <r>
      <rPr>
        <b/>
        <sz val="10"/>
        <rFont val="Arial"/>
        <family val="2"/>
      </rPr>
      <t>:</t>
    </r>
  </si>
  <si>
    <t>31/12/1996</t>
  </si>
  <si>
    <t>4/7/2016</t>
  </si>
  <si>
    <t>32378</t>
  </si>
  <si>
    <t>373</t>
  </si>
  <si>
    <t>406,3</t>
  </si>
  <si>
    <r>
      <t>Lecture_recap (utilisation de</t>
    </r>
    <r>
      <rPr>
        <b/>
        <sz val="10"/>
        <rFont val="Arial"/>
        <family val="2"/>
      </rPr>
      <t xml:space="preserve"> recap_L</t>
    </r>
    <r>
      <rPr>
        <sz val="10"/>
        <rFont val="Arial"/>
        <family val="2"/>
      </rPr>
      <t>x)</t>
    </r>
  </si>
  <si>
    <r>
      <t>Copie sur onglet</t>
    </r>
    <r>
      <rPr>
        <b/>
        <sz val="10"/>
        <rFont val="Arial"/>
        <family val="2"/>
      </rPr>
      <t xml:space="preserve"> recap</t>
    </r>
  </si>
  <si>
    <t>71</t>
  </si>
  <si>
    <t>72</t>
  </si>
  <si>
    <t>73</t>
  </si>
  <si>
    <t>74</t>
  </si>
  <si>
    <t>75</t>
  </si>
  <si>
    <t>76</t>
  </si>
  <si>
    <t>77</t>
  </si>
  <si>
    <t>78</t>
  </si>
  <si>
    <t>79</t>
  </si>
  <si>
    <t>80</t>
  </si>
  <si>
    <t>-6</t>
  </si>
  <si>
    <t>-7</t>
  </si>
  <si>
    <t>-130</t>
  </si>
  <si>
    <t>-461</t>
  </si>
  <si>
    <t>-463</t>
  </si>
  <si>
    <t>-465</t>
  </si>
  <si>
    <t>-467</t>
  </si>
  <si>
    <t>-469</t>
  </si>
  <si>
    <t>-471</t>
  </si>
  <si>
    <t>Impression Synthese</t>
  </si>
  <si>
    <t>Info_proprietaire_clik</t>
  </si>
  <si>
    <t>affich proprietaire</t>
  </si>
  <si>
    <t xml:space="preserve">Creation_pdf(97) </t>
  </si>
  <si>
    <t>Locataire à date</t>
  </si>
  <si>
    <t>logement vacant</t>
  </si>
  <si>
    <t>s/o</t>
  </si>
  <si>
    <t>d.sportiche@cabinetcbg.fr</t>
  </si>
  <si>
    <t>Sportiche</t>
  </si>
  <si>
    <t>Charges comprises</t>
  </si>
  <si>
    <t>638,78</t>
  </si>
  <si>
    <t>17/01/1994</t>
  </si>
  <si>
    <t>Grenoble</t>
  </si>
  <si>
    <t>Francaise</t>
  </si>
  <si>
    <t>Restitué le :</t>
  </si>
  <si>
    <t>Retenues:</t>
  </si>
  <si>
    <t>98</t>
  </si>
  <si>
    <t>Coloc 2</t>
  </si>
  <si>
    <t>reserve</t>
  </si>
  <si>
    <t>Reserve</t>
  </si>
  <si>
    <t>Nat coloc2</t>
  </si>
  <si>
    <t>Resillation</t>
  </si>
  <si>
    <t>SAFIN Lucille</t>
  </si>
  <si>
    <t>00.00.00.00.00</t>
  </si>
  <si>
    <t>12/03/1986</t>
  </si>
  <si>
    <t>francaise</t>
  </si>
  <si>
    <t xml:space="preserve">Date naissance : </t>
  </si>
  <si>
    <t>PENZINI Christophe</t>
  </si>
  <si>
    <t>11/04/1981</t>
  </si>
  <si>
    <t>cpenzini@hotmail.fr</t>
  </si>
  <si>
    <t>740</t>
  </si>
  <si>
    <t>01/08/2017</t>
  </si>
  <si>
    <t>infos loyers complemenatire</t>
  </si>
  <si>
    <t>Date de mise en œuvre</t>
  </si>
  <si>
    <t xml:space="preserve">Depuis le </t>
  </si>
  <si>
    <t>Théo LEVY-KOLPAK</t>
  </si>
  <si>
    <t>390</t>
  </si>
  <si>
    <t>1/9/2017</t>
  </si>
  <si>
    <t>475</t>
  </si>
  <si>
    <t>Variable interne</t>
  </si>
  <si>
    <t>Dernier code logement traité :</t>
  </si>
  <si>
    <t>presence</t>
  </si>
  <si>
    <t>xxxxxxxx</t>
  </si>
  <si>
    <t>27648</t>
  </si>
  <si>
    <t>25/7/2017</t>
  </si>
  <si>
    <t>45628</t>
  </si>
  <si>
    <t>449,68</t>
  </si>
  <si>
    <t>MAIF</t>
  </si>
  <si>
    <t>Abonnement (info complementaire)</t>
  </si>
  <si>
    <r>
      <rPr>
        <b/>
        <sz val="10"/>
        <rFont val="Arial"/>
        <family val="2"/>
      </rPr>
      <t>EDF</t>
    </r>
    <r>
      <rPr>
        <sz val="10"/>
        <rFont val="Arial"/>
        <family val="2"/>
      </rPr>
      <t xml:space="preserve">
</t>
    </r>
    <r>
      <rPr>
        <i/>
        <sz val="10"/>
        <color rgb="FFFF0000"/>
        <rFont val="Arial"/>
        <family val="2"/>
      </rPr>
      <t>HP/HC</t>
    </r>
  </si>
  <si>
    <t>Type abo.</t>
  </si>
  <si>
    <t>Trace</t>
  </si>
  <si>
    <t>Variables propre à l'applicatif</t>
  </si>
  <si>
    <t>Logement courant</t>
  </si>
  <si>
    <t>libellé</t>
  </si>
  <si>
    <t>Locataire courant</t>
  </si>
  <si>
    <t>Var_interne</t>
  </si>
  <si>
    <t xml:space="preserve">Trace </t>
  </si>
  <si>
    <t>Liste</t>
  </si>
  <si>
    <t>Var_log_no</t>
  </si>
  <si>
    <t>Var_log_lib</t>
  </si>
  <si>
    <t>Var_log_loyer</t>
  </si>
  <si>
    <t>Var_log_charge</t>
  </si>
  <si>
    <t>Nom interne</t>
  </si>
  <si>
    <t>Var_locat_no</t>
  </si>
  <si>
    <t>Var_locat_nom</t>
  </si>
  <si>
    <t>Var_locat_numl</t>
  </si>
  <si>
    <t>N° ligne</t>
  </si>
  <si>
    <t>Var_log_numl</t>
  </si>
  <si>
    <t>Var_trace</t>
  </si>
  <si>
    <t>Surface</t>
  </si>
  <si>
    <t>Notaire</t>
  </si>
  <si>
    <t>Superficie</t>
  </si>
  <si>
    <t>Garage à vélo</t>
  </si>
  <si>
    <t>Parking</t>
  </si>
  <si>
    <t>N° cave</t>
  </si>
  <si>
    <t>a valider</t>
  </si>
  <si>
    <t>Info Appartement complementaire</t>
  </si>
  <si>
    <t>CADUQ</t>
  </si>
  <si>
    <t>Présence Interphone</t>
  </si>
  <si>
    <t>Numéro interphone</t>
  </si>
  <si>
    <r>
      <t xml:space="preserve">Interphone
</t>
    </r>
    <r>
      <rPr>
        <b/>
        <sz val="10"/>
        <color rgb="FFFF0000"/>
        <rFont val="Arial"/>
        <family val="2"/>
      </rPr>
      <t>CADUQ</t>
    </r>
  </si>
  <si>
    <t>En attente de devpt</t>
  </si>
  <si>
    <t>Ouverture_sais_log</t>
  </si>
  <si>
    <t>Affich_logement(N°)</t>
  </si>
  <si>
    <t>Trace détaillée</t>
  </si>
  <si>
    <t>Var_trace_det</t>
  </si>
  <si>
    <t>Trace dans les routines</t>
  </si>
  <si>
    <t>Variables globales</t>
  </si>
  <si>
    <t xml:space="preserve">num_logement  </t>
  </si>
  <si>
    <t>Numero du locataire que l'on traite</t>
  </si>
  <si>
    <t>nom_locataire</t>
  </si>
  <si>
    <t>Nom du locataire que l'on traite</t>
  </si>
  <si>
    <t>row_locataire</t>
  </si>
  <si>
    <t xml:space="preserve">an_cour </t>
  </si>
  <si>
    <t>mois_cour</t>
  </si>
  <si>
    <t xml:space="preserve">posit_recap </t>
  </si>
  <si>
    <t>posit_recapL</t>
  </si>
  <si>
    <t xml:space="preserve">posit_locat </t>
  </si>
  <si>
    <t xml:space="preserve">Nb_Lig_Recapl  </t>
  </si>
  <si>
    <t>Num_log_temp</t>
  </si>
  <si>
    <t>Numero de ligne pointant sur le locataire courant</t>
  </si>
  <si>
    <t>N° de ligne dans l'onglet positionne sur 1ere ligne de l'année dans onglet recap_l</t>
  </si>
  <si>
    <t>N° de ligne sur recap_L (ind de travail)</t>
  </si>
  <si>
    <t>N° de ligne courante dans l'onglet locataire</t>
  </si>
  <si>
    <t>Nb lignes onglet recap_Lx</t>
  </si>
  <si>
    <t>Parametre de trace pour debuuging</t>
  </si>
  <si>
    <t>Parametre de trace fine pour debuuging (dans les sous prog)</t>
  </si>
  <si>
    <t>row_logement</t>
  </si>
  <si>
    <t>Sillon</t>
  </si>
  <si>
    <t>2/01/2014</t>
  </si>
  <si>
    <t>menais</t>
  </si>
  <si>
    <t>Brasseur</t>
  </si>
  <si>
    <t>remise gracieuse</t>
  </si>
  <si>
    <t>nom_colocataire</t>
  </si>
  <si>
    <t>Nom du co_locataire que l'on traite</t>
  </si>
  <si>
    <t>Numero de ligne pointant sur le logement courant</t>
  </si>
  <si>
    <t>Evolution loyers</t>
  </si>
  <si>
    <t>Etat Logiciel</t>
  </si>
  <si>
    <t>Bloqué</t>
  </si>
  <si>
    <t>Libre</t>
  </si>
  <si>
    <t>NomFic_pdf</t>
  </si>
  <si>
    <t>Nom du fichier PDF créer</t>
  </si>
  <si>
    <t>mois_lib</t>
  </si>
  <si>
    <t>Nom du mois</t>
  </si>
  <si>
    <t>à finaliser</t>
  </si>
  <si>
    <t>Ajouter ascenseur</t>
  </si>
  <si>
    <t>mettre en evidence le locataire actuel</t>
  </si>
  <si>
    <t xml:space="preserve">Le loyer du logement objet du présent contrat est-il soumis au loyer de référence majoré fixé par arrêté préfectoral </t>
  </si>
  <si>
    <t>Le bail du précédent locataire est-il terminé depuis plus de 18 mois</t>
  </si>
  <si>
    <t>Intervention</t>
  </si>
  <si>
    <t>Bien</t>
  </si>
  <si>
    <t>Sujet</t>
  </si>
  <si>
    <t>nom</t>
  </si>
  <si>
    <t>e.mail</t>
  </si>
  <si>
    <t>date achevement</t>
  </si>
  <si>
    <t>Demande de justificatif s'assurance</t>
  </si>
  <si>
    <t>Madame, Monsieur, 
A ce jour, je n'ai toujours pas reçu de justificatif ou d'attestation prouvant que le logement que vous occupez depuis le , en qualité de locataire, est bien assuré.
Je vous rappelle que vous êtes dans l'obligation légale de vous couvrir contre les risques dont vous avez à répondre en qualité de locataire, aussi je vous remercie de bien vouloir me communiquer dans les meilleurs délais les pièces justifiant de cette assurance. 
Dans cette attente, veuillez agréer, Madame, Monsieur, l'assurance de mes sentiments distingués.</t>
  </si>
  <si>
    <t>Declaration entrée du locataire</t>
  </si>
  <si>
    <t>Madame, Monsieur,
Je vous signale l'entrée du locataire ci-après dénommé et vous communique les renseignements en ma possession.
Adresse des lieux loués : 
Nom et prénoms du (des) locataire(s) entrants(s) : a test
Date d'entrée dans les lieux : 
Nom et prénoms du (des) propriétaire(s) : 
Je vous prie de croire, Madame, Monsieur, en mes très distinguées salutations. </t>
  </si>
  <si>
    <t>centre d'impôts dans la fiche du bien.</t>
  </si>
  <si>
    <t>Attestation loyer</t>
  </si>
  <si>
    <t>Liste des pieces a fournir candidat locataire</t>
  </si>
  <si>
    <r>
      <t>voir site :</t>
    </r>
    <r>
      <rPr>
        <b/>
        <sz val="10"/>
        <color rgb="FFFF0000"/>
        <rFont val="Arial"/>
        <family val="2"/>
      </rPr>
      <t xml:space="preserve"> rentila.com</t>
    </r>
  </si>
  <si>
    <t>Relance</t>
  </si>
  <si>
    <t>1ere</t>
  </si>
  <si>
    <t>2eme</t>
  </si>
  <si>
    <t>3eme</t>
  </si>
  <si>
    <r>
      <t>Adresse :</t>
    </r>
    <r>
      <rPr>
        <b/>
        <sz val="10"/>
        <rFont val="Arial"/>
        <family val="2"/>
      </rPr>
      <t xml:space="preserve"> ajouter escalie</t>
    </r>
    <r>
      <rPr>
        <sz val="10"/>
        <rFont val="Arial"/>
        <family val="2"/>
      </rPr>
      <t>r N° porte</t>
    </r>
  </si>
  <si>
    <t>Signature</t>
  </si>
  <si>
    <t>A jour des ses loyers</t>
  </si>
  <si>
    <t>juin</t>
  </si>
  <si>
    <t>decembre</t>
  </si>
  <si>
    <t>Le_carrare</t>
  </si>
  <si>
    <t>chemin</t>
  </si>
  <si>
    <t>Nom du chemin courant pour stocker des infos sur disques dur</t>
  </si>
  <si>
    <t xml:space="preserve">nom_proprio  </t>
  </si>
  <si>
    <t>Nom du proprietaire</t>
  </si>
  <si>
    <t>Acenseur</t>
  </si>
  <si>
    <t>Nb pieces</t>
  </si>
  <si>
    <t>Vide / meublé</t>
  </si>
  <si>
    <t>Date des quittances</t>
  </si>
  <si>
    <t xml:space="preserve">Le loyer du logement objet du présent contrat Le logement est-il dans une zone où l'évolution du loyer est plafonnée à l'IRL </t>
  </si>
  <si>
    <t>à imprimer</t>
  </si>
  <si>
    <t xml:space="preserve">Soumis au loyer de référence majoré </t>
  </si>
  <si>
    <t xml:space="preserve">évolution du loyer est plafonnée à l'IRL </t>
  </si>
  <si>
    <t>Meublé</t>
  </si>
  <si>
    <t>Remboursement trop perçu loyer</t>
  </si>
  <si>
    <t>Remboursement caution (moins 98€ de retenue)</t>
  </si>
  <si>
    <t>Remboursement APL de juillet (perçcue à tort)</t>
  </si>
  <si>
    <t>par cheque N° 5760475 (envoyé le 26 juin 2017)</t>
  </si>
  <si>
    <t>par cheque N° 5760479 (envoyé en A/R le 10 juillet 2017)</t>
  </si>
  <si>
    <t>Ok</t>
  </si>
  <si>
    <t xml:space="preserve">  </t>
  </si>
  <si>
    <t xml:space="preserve"> MAIF</t>
  </si>
  <si>
    <t>25/08/2017</t>
  </si>
  <si>
    <r>
      <t xml:space="preserve">Locataire au </t>
    </r>
    <r>
      <rPr>
        <b/>
        <sz val="10"/>
        <rFont val="Arial"/>
        <family val="2"/>
      </rPr>
      <t xml:space="preserve">1er janvier
</t>
    </r>
    <r>
      <rPr>
        <i/>
        <sz val="8"/>
        <rFont val="Arial"/>
        <family val="2"/>
      </rPr>
      <t>(pour taxe foncière)</t>
    </r>
  </si>
  <si>
    <t>Fiche synthèse propriétaire</t>
  </si>
  <si>
    <t>En date du:</t>
  </si>
  <si>
    <t>V202_f</t>
  </si>
  <si>
    <t>1115,73</t>
  </si>
  <si>
    <t>638,80</t>
  </si>
  <si>
    <t>Impots</t>
  </si>
  <si>
    <t>Taxe ordure menagere</t>
  </si>
  <si>
    <t>19,75</t>
  </si>
  <si>
    <t>Impots locaux</t>
  </si>
  <si>
    <t>Taxe ordure ménagére</t>
  </si>
  <si>
    <t>N° Garage</t>
  </si>
  <si>
    <t>Technique</t>
  </si>
  <si>
    <t>Mois courant</t>
  </si>
  <si>
    <t>par cheque N° 0106143 (remis ce jour)</t>
  </si>
  <si>
    <t>Madame   _____________________ pour le compte de Mlle C. KORCHIA</t>
  </si>
  <si>
    <t>Mr A. Caillat</t>
  </si>
  <si>
    <t>Le  bailleur</t>
  </si>
  <si>
    <t xml:space="preserve">Nb_locataire                                  </t>
  </si>
  <si>
    <t>Nb locataires dans la base</t>
  </si>
  <si>
    <t>dêpot de garantie</t>
  </si>
  <si>
    <t>rappel loyer impayés</t>
  </si>
  <si>
    <t>pris en compte</t>
  </si>
  <si>
    <t>1ere relance</t>
  </si>
  <si>
    <t xml:space="preserve">DE : Nom, Prénom à préciser
Adresse, Code Postal, Ville
    A : Destinataire
Adresse, Code Postal, Ville
Fait à Lieu, Date
Rappel loyers impayés
Recommandé avec Accusé de Réception
Madame, Monsieur,
Vous occupez actuellement un logement que je vous loue depuis (Date à préciser) à (Adresse complète à préciser) 
A ce jour et sauf erreur de ma part, je n'ai pas reçu le règlement du loyer du mois de (Mois à préciser) s'élevant à (Montant à préciser)
Aussi, pour préserver nos bonnes relations, je vous invite à régulariser votre situation au plus vite.
Comptant sur votre compréhension, je vous prie d'agréer, Madame, Monsieur, l'expression de mes sentiments distingués.
</t>
  </si>
  <si>
    <t>mise en eouvre caution</t>
  </si>
  <si>
    <t xml:space="preserve"> 
Madame, Monsieur,
Je regrette de vous informer que mes différentes relances pour le paiement de loyer sont restées sans réponse.
Dans le bail d'habitation signé le (date de signature), portant sur le logement situé (Adresse), vous avez accepté d'être caution solidaire de M./Mme (Nom du locataire), locataire de ce logement.
J'ai le regret de vous informer qu'à la date de ce jour, le locataire reste redevable de la somme de (Montant à préciser) au titre de ses loyers et accessoires restés impayés à ce jour, à savoir :
(Créance)
En conséquence, je me vois dans l’obligation, par la présente lettre recommandée avec accusé de réception, de vous mettre en demeure de remplir votre engagement de cautionnement et de me régler la somme sus indiquée dans les plus brefs délais.
Je vous informe qu’à défaut du règlement de cette dette sous quinze jours, je transmettrai le dossier entre les mains d’un huissier et de mon avocat qui procéderont au recouvrement forcé de ces sommes.
Ne souhaitant pas en arriver à de telles extrémités et dans l’attente de votre règlement, je vous prie de croire, Madame, Monsieur, en l’expression de mes salutations distinguées.
</t>
  </si>
  <si>
    <t xml:space="preserve">DE : Nom, Prénom à préciser
Adresse, Code Postal, Ville
  A : Destinataire
Adresse, Code Postal, Ville
Fait à Lieu, Date
Reçu du dépôt de garantie
Reçu de (Nom, Prénom du locataire à préciser)
La somme de (Montant à préciser) euros.
Pour le montant d’un dépôt de garantie correspondant à un (Deux pour les locations meublées) mois de loyer hors charges de l’appartement qu’il occupe dans l’immeuble situé au … (Adresse complète à préciser).
</t>
  </si>
  <si>
    <t>mise en demeure pour non paiement</t>
  </si>
  <si>
    <t xml:space="preserve">Madame, M
Je regrette de constater que mes différentes relances n’ont pas attiré votre attention.
Je vous rappelle, en effet, que vous restez redevable de la somme de (Montant à préciser) au titre de vos loyers et accessoires restés impayés à ce jour, à savoir : 
 (Créance)
En conséquence, je me vois dans l’obligation, par la présente lettre recommandée avec accusé de réception, de vous mettre en demeure de nous régler la somme sus indiquée dans les meilleurs délais.
Je vous informe qu’à défaut du règlement de votre dette sous huit jours, je transmettrai votre dossier entre les mains d’un huissier et de mon avocat qui procéderont au recouvrement forcé de ces sommes.
Je vous indique que j’ai informé votre caution de votre défaut de paiement. Je vous prie de trouver, pour votre complète information, copie de la lettre que je lui ai adressée.
Ne souhaitant pas en arriver à de telles extrémités et dans l’attente de votre règlement, je vous prie de croire, Madame, Monsieur, en l’expression de mes salutations distinguées.
</t>
  </si>
  <si>
    <t>Demande de remboursement taxe ordure menagere</t>
  </si>
  <si>
    <t>Madame, Monsieur,
En tant que propriétaire du logement que vous occupez actuellement, j'ai réglé la taxe d'enlèvement des ordures ménagères.
Or, selon le décret du 26 août 1987, cette taxe fait partie des charges récupérables par le bailleur sur le locataire. Vous êtes donc à ce jour redevable de la somme de (Montant à préciser), correspondant au montant de cette taxe.
Je vous remercie de me faire parvenir rapidement un chèque de régularisation.
Vous trouverez ci-joint l'avis d'imposition indiquant la somme à régler.
Je vous d'agréer, Madame, Monsieur, l'expression de mes salutations distinguées</t>
  </si>
  <si>
    <t>Taxe ordure menagere incluse</t>
  </si>
  <si>
    <t>Taxe ordure ménagère</t>
  </si>
  <si>
    <t>Adaj</t>
  </si>
  <si>
    <t>......@.......</t>
  </si>
  <si>
    <t>1/2/1995</t>
  </si>
  <si>
    <t>1/9/2015</t>
  </si>
  <si>
    <t>LAHMER Mohamed</t>
  </si>
  <si>
    <t>25/10/2008</t>
  </si>
  <si>
    <t>BOUKEMIS mohamed</t>
  </si>
  <si>
    <t>4/11/2010</t>
  </si>
  <si>
    <t xml:space="preserve">Pakiry Laure </t>
  </si>
  <si>
    <t>1/09/2012</t>
  </si>
  <si>
    <t>1/7/2014</t>
  </si>
  <si>
    <t>Remi LAURENT</t>
  </si>
  <si>
    <t>25/6/2013</t>
  </si>
  <si>
    <t>Vanpoucke</t>
  </si>
  <si>
    <t>01/09/2013</t>
  </si>
  <si>
    <t>Civilié</t>
  </si>
  <si>
    <t>etat civil</t>
  </si>
  <si>
    <t>Mr</t>
  </si>
  <si>
    <t>Mme</t>
  </si>
  <si>
    <t>2014641</t>
  </si>
  <si>
    <t>Ajouter civilité</t>
  </si>
  <si>
    <t>en cours</t>
  </si>
  <si>
    <t>Mlle</t>
  </si>
  <si>
    <t>Pas de Locataire</t>
  </si>
  <si>
    <t>co_Locataire</t>
  </si>
  <si>
    <t>Cheminé</t>
  </si>
  <si>
    <t>Date dernier Ramonage</t>
  </si>
  <si>
    <t>Mt.</t>
  </si>
  <si>
    <t>Coloc</t>
  </si>
  <si>
    <t>info propre au proprietaire</t>
  </si>
  <si>
    <t>Site</t>
  </si>
  <si>
    <t>N° proprietaire</t>
  </si>
  <si>
    <t>cod_Apl1a</t>
  </si>
  <si>
    <t>cod_Apl 5e</t>
  </si>
  <si>
    <t>prise en compte pour les relances</t>
  </si>
  <si>
    <t>A valider</t>
  </si>
  <si>
    <t>Integrer référence au centre des impots</t>
  </si>
  <si>
    <t>Reference APL pour teledeclaration</t>
  </si>
  <si>
    <t>Carnet adresse artisan</t>
  </si>
  <si>
    <t>a restituer</t>
  </si>
  <si>
    <t>partie le 18 juin</t>
  </si>
  <si>
    <t>Pas de locataire</t>
  </si>
  <si>
    <t>Donné les clés le 28 Aout</t>
  </si>
  <si>
    <t>Debut</t>
  </si>
  <si>
    <t>Fin</t>
  </si>
  <si>
    <t>Objet</t>
  </si>
  <si>
    <t>ouverture dossier</t>
  </si>
  <si>
    <t>Cloture dossier</t>
  </si>
  <si>
    <t>Intervenant</t>
  </si>
  <si>
    <t>JBF</t>
  </si>
  <si>
    <r>
      <t xml:space="preserve">Assurance perso
</t>
    </r>
    <r>
      <rPr>
        <b/>
        <sz val="10"/>
        <rFont val="Arial"/>
        <family val="2"/>
      </rPr>
      <t>O</t>
    </r>
    <r>
      <rPr>
        <sz val="10"/>
        <rFont val="Arial"/>
        <family val="2"/>
      </rPr>
      <t>ui/</t>
    </r>
    <r>
      <rPr>
        <b/>
        <sz val="10"/>
        <rFont val="Arial"/>
        <family val="2"/>
      </rPr>
      <t>N</t>
    </r>
    <r>
      <rPr>
        <sz val="10"/>
        <rFont val="Arial"/>
        <family val="2"/>
      </rPr>
      <t>on</t>
    </r>
  </si>
  <si>
    <r>
      <t xml:space="preserve">Assurance locataire
</t>
    </r>
    <r>
      <rPr>
        <b/>
        <sz val="10"/>
        <rFont val="Arial"/>
        <family val="2"/>
      </rPr>
      <t>O</t>
    </r>
    <r>
      <rPr>
        <sz val="10"/>
        <rFont val="Arial"/>
        <family val="2"/>
      </rPr>
      <t>ui/</t>
    </r>
    <r>
      <rPr>
        <b/>
        <sz val="10"/>
        <rFont val="Arial"/>
        <family val="2"/>
      </rPr>
      <t>N</t>
    </r>
    <r>
      <rPr>
        <sz val="10"/>
        <rFont val="Arial"/>
        <family val="2"/>
      </rPr>
      <t>on</t>
    </r>
  </si>
  <si>
    <r>
      <t xml:space="preserve">Assurance Co-pro
</t>
    </r>
    <r>
      <rPr>
        <b/>
        <sz val="10"/>
        <rFont val="Arial"/>
        <family val="2"/>
      </rPr>
      <t>O</t>
    </r>
    <r>
      <rPr>
        <sz val="10"/>
        <rFont val="Arial"/>
        <family val="2"/>
      </rPr>
      <t>ui/</t>
    </r>
    <r>
      <rPr>
        <b/>
        <sz val="10"/>
        <rFont val="Arial"/>
        <family val="2"/>
      </rPr>
      <t>N</t>
    </r>
    <r>
      <rPr>
        <sz val="10"/>
        <rFont val="Arial"/>
        <family val="2"/>
      </rPr>
      <t>on</t>
    </r>
  </si>
  <si>
    <t>Commentaires</t>
  </si>
  <si>
    <t>N° incident</t>
  </si>
  <si>
    <t>N°incident</t>
  </si>
  <si>
    <t xml:space="preserve">C </t>
  </si>
  <si>
    <t>D</t>
  </si>
  <si>
    <t>B</t>
  </si>
  <si>
    <t>E</t>
  </si>
  <si>
    <t>G</t>
  </si>
  <si>
    <t>H</t>
  </si>
  <si>
    <t>J</t>
  </si>
  <si>
    <t>K</t>
  </si>
  <si>
    <t>M</t>
  </si>
  <si>
    <t>N</t>
  </si>
  <si>
    <t>P</t>
  </si>
  <si>
    <t>Zone 3</t>
  </si>
  <si>
    <t>test</t>
  </si>
  <si>
    <t>ZAZA</t>
  </si>
  <si>
    <t>Remplacement vitres séparation balcon</t>
  </si>
  <si>
    <t>Plombier</t>
  </si>
  <si>
    <t>Remplacement robinet evier cuisine</t>
  </si>
  <si>
    <t>l'entreprise a vu directement avec le locataire</t>
  </si>
  <si>
    <t>Adresse Postale</t>
  </si>
  <si>
    <t>Tel.</t>
  </si>
  <si>
    <t>coprs de métier</t>
  </si>
  <si>
    <t>Miroitier</t>
  </si>
  <si>
    <t>MAJ Ok</t>
  </si>
  <si>
    <t>Commentaire</t>
  </si>
  <si>
    <t>Remplacement Volet roulant - Suite incendie du vosin</t>
  </si>
  <si>
    <t>recu devis le 12/10/2017 (donné accord par SMS)</t>
  </si>
  <si>
    <t>prop_portable_lib</t>
  </si>
  <si>
    <t>prop_mail_lib</t>
  </si>
  <si>
    <t xml:space="preserve">Portable:  </t>
  </si>
  <si>
    <t xml:space="preserve">Email :  </t>
  </si>
  <si>
    <t>68€ + 3 euros payé en liquide (15 janvier)</t>
  </si>
  <si>
    <t>Q_colocataire</t>
  </si>
  <si>
    <t>Q_comail</t>
  </si>
  <si>
    <t>Label_coloc</t>
  </si>
  <si>
    <t>Label45_mailcoloc</t>
  </si>
  <si>
    <t>13/3/2018</t>
  </si>
  <si>
    <t>68€ + 3 euros payé en liquide (16 mai)</t>
  </si>
  <si>
    <t>Dépôt de garantie</t>
  </si>
  <si>
    <t>Câble</t>
  </si>
  <si>
    <t>Type de paiement</t>
  </si>
  <si>
    <t>Nb pièces :</t>
  </si>
  <si>
    <t>Taxe habitation</t>
  </si>
  <si>
    <t>Taxe fonciere</t>
  </si>
  <si>
    <t>Charges Globales</t>
  </si>
  <si>
    <t>Prix Achat</t>
  </si>
  <si>
    <t>Prix achat:</t>
  </si>
  <si>
    <t>15000</t>
  </si>
  <si>
    <t>En cours de validation</t>
  </si>
  <si>
    <t>Trim 1</t>
  </si>
  <si>
    <r>
      <t>Fiche synthèse propriétaire</t>
    </r>
    <r>
      <rPr>
        <b/>
        <sz val="12"/>
        <rFont val="Arial"/>
        <family val="2"/>
      </rPr>
      <t xml:space="preserve"> /</t>
    </r>
    <r>
      <rPr>
        <sz val="12"/>
        <rFont val="Arial"/>
        <family val="2"/>
      </rPr>
      <t xml:space="preserve"> indices de révision</t>
    </r>
  </si>
  <si>
    <t>Trim 2</t>
  </si>
  <si>
    <t>Trim 4</t>
  </si>
  <si>
    <t>Trim 3</t>
  </si>
  <si>
    <t>ZARZAKH  Abderazack</t>
  </si>
  <si>
    <t>0663528372</t>
  </si>
  <si>
    <t>01/08/2018</t>
  </si>
  <si>
    <t>29/07/76</t>
  </si>
  <si>
    <t>La tronche</t>
  </si>
  <si>
    <t>a ecrire</t>
  </si>
  <si>
    <t>01/01/1900</t>
  </si>
  <si>
    <t>Taxe foncière</t>
  </si>
  <si>
    <t>Code interne</t>
  </si>
  <si>
    <t>Taxe Foncière</t>
  </si>
  <si>
    <t>31/07/2018</t>
  </si>
  <si>
    <t>abderazak.zarzakh@laposte.net</t>
  </si>
  <si>
    <t>40391</t>
  </si>
  <si>
    <t>32226</t>
  </si>
  <si>
    <t>3837</t>
  </si>
  <si>
    <t>1710</t>
  </si>
  <si>
    <t>905,683</t>
  </si>
  <si>
    <t>1019,762</t>
  </si>
  <si>
    <t>Depart</t>
  </si>
  <si>
    <t>Depot garanties complément</t>
  </si>
  <si>
    <t>1147,32</t>
  </si>
  <si>
    <t>653,61</t>
  </si>
  <si>
    <t>Montant rendu</t>
  </si>
  <si>
    <t>Commentaire sur retenue</t>
  </si>
  <si>
    <t>02/08/2018</t>
  </si>
  <si>
    <t>Virement</t>
  </si>
  <si>
    <t>Pas de retenue chéque N° 6315304</t>
  </si>
  <si>
    <t>SAFIN Lucille / PENZINI Christophe</t>
  </si>
  <si>
    <t>Numéro utilisateur</t>
  </si>
  <si>
    <t>Site internet</t>
  </si>
  <si>
    <t>Mot de passe</t>
  </si>
  <si>
    <t>Télédéclarer les loyers</t>
  </si>
  <si>
    <t>qlweb-caf.fr</t>
  </si>
  <si>
    <t>aljavaux38</t>
  </si>
  <si>
    <t xml:space="preserve">Numéro d'utilisateur </t>
  </si>
  <si>
    <t xml:space="preserve">Mot de passe </t>
  </si>
  <si>
    <t>388</t>
  </si>
  <si>
    <t>2604530001</t>
  </si>
  <si>
    <t>N°contrat</t>
  </si>
  <si>
    <t>N° contrat</t>
  </si>
  <si>
    <t>Assu5</t>
  </si>
  <si>
    <t>AF_005</t>
  </si>
  <si>
    <t>MACIF</t>
  </si>
  <si>
    <t>L002</t>
  </si>
  <si>
    <t>Inserer la notion de mise en location Oui/Non      Cf merlette</t>
  </si>
  <si>
    <t>valider la notion d'historique ou non</t>
  </si>
  <si>
    <t>sur EDF ajouter la notion de point de livraison   cf merlette</t>
  </si>
  <si>
    <t>Restitué sur fiche signalitique logement</t>
  </si>
  <si>
    <t>Mettre liste deroulante sur locataire</t>
  </si>
  <si>
    <t>Finir FSL</t>
  </si>
  <si>
    <t>depot dossier /N° dossier</t>
  </si>
  <si>
    <t>ajouter paiement co-locataire</t>
  </si>
  <si>
    <r>
      <t>Fiche synthèse propriétaire</t>
    </r>
    <r>
      <rPr>
        <b/>
        <sz val="12"/>
        <rFont val="Arial"/>
        <family val="2"/>
      </rPr>
      <t xml:space="preserve"> /</t>
    </r>
    <r>
      <rPr>
        <sz val="12"/>
        <rFont val="Arial"/>
        <family val="2"/>
      </rPr>
      <t xml:space="preserve"> Charges payées</t>
    </r>
  </si>
  <si>
    <t>taxe fonciere</t>
  </si>
  <si>
    <r>
      <rPr>
        <b/>
        <sz val="9"/>
        <rFont val="Arial"/>
        <family val="2"/>
      </rPr>
      <t>Charges</t>
    </r>
    <r>
      <rPr>
        <b/>
        <sz val="8"/>
        <rFont val="Arial"/>
        <family val="2"/>
      </rPr>
      <t xml:space="preserve"> </t>
    </r>
    <r>
      <rPr>
        <sz val="8"/>
        <rFont val="Arial"/>
        <family val="2"/>
      </rPr>
      <t>(pour info)</t>
    </r>
  </si>
  <si>
    <t>Charges copro</t>
  </si>
  <si>
    <t>janvier</t>
  </si>
  <si>
    <t>02/01/2018</t>
  </si>
  <si>
    <t>03/01/2018</t>
  </si>
  <si>
    <t>N° sociétaire</t>
  </si>
  <si>
    <t>N° societaire</t>
  </si>
  <si>
    <t>2570580</t>
  </si>
  <si>
    <t xml:space="preserve"> 0</t>
  </si>
  <si>
    <t>Remboursement dêpot de garantie + APL trop perçu</t>
  </si>
  <si>
    <t>559</t>
  </si>
  <si>
    <t>12/8/18</t>
  </si>
  <si>
    <t>28553</t>
  </si>
  <si>
    <t>APL (Complémentaire)</t>
  </si>
  <si>
    <r>
      <t xml:space="preserve">APL 
</t>
    </r>
    <r>
      <rPr>
        <sz val="8"/>
        <rFont val="Arial"/>
        <family val="2"/>
      </rPr>
      <t>(Oui / Non)</t>
    </r>
  </si>
  <si>
    <r>
      <t xml:space="preserve">APL
Coloc 
</t>
    </r>
    <r>
      <rPr>
        <sz val="8"/>
        <rFont val="Arial"/>
        <family val="2"/>
      </rPr>
      <t>(Oui / Non)</t>
    </r>
  </si>
  <si>
    <t>01/09/2018</t>
  </si>
  <si>
    <t>9/5/2000</t>
  </si>
  <si>
    <t xml:space="preserve"> Le locataire est toujours présent dans l'appartement </t>
  </si>
  <si>
    <t>Cautions</t>
  </si>
  <si>
    <t>Nom1 prenom</t>
  </si>
  <si>
    <t>Lib1 complémentaire</t>
  </si>
  <si>
    <t>Date 1 naissance</t>
  </si>
  <si>
    <t>parenté 1</t>
  </si>
  <si>
    <t>Nom2 prenom</t>
  </si>
  <si>
    <t>Lib2 complémentaire</t>
  </si>
  <si>
    <t>Date 2 naissance</t>
  </si>
  <si>
    <t>parenté 2</t>
  </si>
  <si>
    <t>31/12/2013</t>
  </si>
  <si>
    <t>père_caution</t>
  </si>
  <si>
    <t>mère_caution</t>
  </si>
  <si>
    <t>07/11/1956</t>
  </si>
  <si>
    <t>Autre</t>
  </si>
  <si>
    <t>21/09/1957</t>
  </si>
  <si>
    <t>pére</t>
  </si>
  <si>
    <t>31/12/2099</t>
  </si>
  <si>
    <t>HC:</t>
  </si>
  <si>
    <t>22/08 J'ai complété le dossier avec le locataire + RIB</t>
  </si>
  <si>
    <t>30</t>
  </si>
  <si>
    <t>19,75 m²</t>
  </si>
  <si>
    <t>Pas d'historique enregistré</t>
  </si>
  <si>
    <t>Texte</t>
  </si>
  <si>
    <t>00.00.00.00.0x</t>
  </si>
  <si>
    <r>
      <rPr>
        <sz val="10"/>
        <rFont val="Arial"/>
        <family val="2"/>
      </rPr>
      <t xml:space="preserve">Ajouter </t>
    </r>
    <r>
      <rPr>
        <b/>
        <sz val="10"/>
        <rFont val="Arial"/>
        <family val="2"/>
      </rPr>
      <t>type de logement</t>
    </r>
  </si>
  <si>
    <r>
      <t xml:space="preserve">Ajouter sur cheminé / </t>
    </r>
    <r>
      <rPr>
        <b/>
        <sz val="10"/>
        <rFont val="Arial"/>
        <family val="2"/>
      </rPr>
      <t>date ramonage</t>
    </r>
  </si>
  <si>
    <t>Restitution depot de garantie</t>
  </si>
  <si>
    <t>Si eau chaude compris dans les charges ne pas affiché les compteurs Entrée / Sortie</t>
  </si>
  <si>
    <t>Etudier l'evolution des loyers</t>
  </si>
  <si>
    <t>Location</t>
  </si>
  <si>
    <t>Description</t>
  </si>
  <si>
    <t>Aide</t>
  </si>
  <si>
    <t xml:space="preserve">Mettre en place un ecran </t>
  </si>
  <si>
    <t>16x</t>
  </si>
  <si>
    <t>17x</t>
  </si>
  <si>
    <t>tataouine</t>
  </si>
  <si>
    <t>Mr dubosq</t>
  </si>
  <si>
    <t>6 rue des aules</t>
  </si>
  <si>
    <t>01 02 03 04 05</t>
  </si>
  <si>
    <t>06 07 06 07 06</t>
  </si>
  <si>
    <t>demo38@gmail.com</t>
  </si>
  <si>
    <t>13 Avenue des fleurs</t>
  </si>
  <si>
    <t>52 avenue la bruyere</t>
  </si>
  <si>
    <t>78100 versailles</t>
  </si>
  <si>
    <t>38123 les coulmes</t>
  </si>
  <si>
    <t>05100 Audibert</t>
  </si>
  <si>
    <t>adresese de test1</t>
  </si>
  <si>
    <t>01-02-03-04-05</t>
  </si>
  <si>
    <t>d.yyyyyy@xxxxxxxx.fr</t>
  </si>
  <si>
    <t>04-38-39-40-41</t>
  </si>
  <si>
    <t>xxxxx test1</t>
  </si>
  <si>
    <t>coloc 2</t>
  </si>
  <si>
    <t>06.60.61.32.63</t>
  </si>
  <si>
    <t>xxxxxxx Christophe</t>
  </si>
  <si>
    <t xml:space="preserve"> Youssef</t>
  </si>
  <si>
    <t>Younsse</t>
  </si>
  <si>
    <t xml:space="preserve">Mlle Camélia </t>
  </si>
  <si>
    <t>Mr Ali BEN ABDEL</t>
  </si>
  <si>
    <t xml:space="preserve">Théo </t>
  </si>
  <si>
    <t>SAFIN</t>
  </si>
  <si>
    <t xml:space="preserve">Abdelli </t>
  </si>
  <si>
    <t>Mohamed</t>
  </si>
  <si>
    <t xml:space="preserve">BOUKEMIS </t>
  </si>
  <si>
    <t xml:space="preserve">Laure </t>
  </si>
  <si>
    <t xml:space="preserve">Remi </t>
  </si>
  <si>
    <t>Abderazack</t>
  </si>
  <si>
    <t xml:space="preserve"> Laura</t>
  </si>
</sst>
</file>

<file path=xl/styles.xml><?xml version="1.0" encoding="utf-8"?>
<styleSheet xmlns="http://schemas.openxmlformats.org/spreadsheetml/2006/main" xmlns:mc="http://schemas.openxmlformats.org/markup-compatibility/2006" xmlns:x14ac="http://schemas.microsoft.com/office/spreadsheetml/2009/9/ac" mc:Ignorable="x14ac">
  <numFmts count="23">
    <numFmt numFmtId="164" formatCode="_(&quot;€&quot;* #,##0.00_);_(&quot;€&quot;* \(#,##0.00\);_(&quot;€&quot;* &quot;-&quot;??_);_(@_)"/>
    <numFmt numFmtId="165" formatCode="_(* #,##0.00_);_(* \(#,##0.00\);_(* &quot;-&quot;??_);_(@_)"/>
    <numFmt numFmtId="166" formatCode="_-* #,##0.00\ [$€]_-;\-* #,##0.00\ [$€]_-;_-* \-??\ [$€]_-;_-@_-"/>
    <numFmt numFmtId="167" formatCode="mmmm\-yy;@"/>
    <numFmt numFmtId="168" formatCode="#,##0&quot; €&quot;"/>
    <numFmt numFmtId="169" formatCode="d\-mmm;@"/>
    <numFmt numFmtId="170" formatCode="d\-mmm\-yy;@"/>
    <numFmt numFmtId="171" formatCode="mmmm\-yyyy;@"/>
    <numFmt numFmtId="172" formatCode="dddd&quot;, &quot;mmmm\ dd&quot;, &quot;yyyy"/>
    <numFmt numFmtId="173" formatCode="d\ mmmm\ yyyy;@"/>
    <numFmt numFmtId="174" formatCode="[$-F800]dddd\,\ mmmm\ dd\,\ yyyy"/>
    <numFmt numFmtId="175" formatCode="[$-40C]d\-mmm\-yy;@"/>
    <numFmt numFmtId="176" formatCode="_-* #,##0.00\ [$€-40C]_-;\-* #,##0.00\ [$€-40C]_-;_-* &quot;-&quot;??\ [$€-40C]_-;_-@_-"/>
    <numFmt numFmtId="177" formatCode="[$-40C]mmm\-yy;@"/>
    <numFmt numFmtId="178" formatCode="mmmm;@"/>
    <numFmt numFmtId="179" formatCode="mmm\-yy;@"/>
    <numFmt numFmtId="180" formatCode="[$-40C]d\-mmm;@"/>
    <numFmt numFmtId="181" formatCode="#,##0.00&quot; €&quot;"/>
    <numFmt numFmtId="182" formatCode="dd/mm/yy"/>
    <numFmt numFmtId="183" formatCode="_-* #,##0.00\ _F_-;\-* #,##0.00\ _F_-;_-* \-??\ _F_-;_-@_-"/>
    <numFmt numFmtId="184" formatCode="#&quot;  m²&quot;"/>
    <numFmt numFmtId="185" formatCode="#,##0\ &quot;€&quot;"/>
    <numFmt numFmtId="186" formatCode="[$-40C]dd\-mmm\-yy;@"/>
  </numFmts>
  <fonts count="100">
    <font>
      <sz val="10"/>
      <name val="Arial"/>
      <family val="2"/>
    </font>
    <font>
      <sz val="10"/>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8"/>
      <color indexed="10"/>
      <name val="Arial"/>
      <family val="2"/>
    </font>
    <font>
      <b/>
      <sz val="10"/>
      <name val="Arial"/>
      <family val="2"/>
    </font>
    <font>
      <sz val="11"/>
      <color indexed="8"/>
      <name val="Times New Roman"/>
      <family val="1"/>
    </font>
    <font>
      <sz val="9"/>
      <color indexed="8"/>
      <name val="Times New Roman"/>
      <family val="1"/>
    </font>
    <font>
      <sz val="9"/>
      <name val="Arial"/>
      <family val="2"/>
    </font>
    <font>
      <i/>
      <sz val="10"/>
      <name val="Arial"/>
      <family val="2"/>
    </font>
    <font>
      <b/>
      <i/>
      <sz val="10"/>
      <name val="Arial"/>
      <family val="2"/>
    </font>
    <font>
      <sz val="8"/>
      <name val="Arial"/>
      <family val="2"/>
    </font>
    <font>
      <sz val="18"/>
      <color indexed="8"/>
      <name val="Times New Roman"/>
      <family val="1"/>
    </font>
    <font>
      <sz val="20"/>
      <color indexed="8"/>
      <name val="Times New Roman"/>
      <family val="1"/>
    </font>
    <font>
      <sz val="10"/>
      <color indexed="8"/>
      <name val="Arial"/>
      <family val="2"/>
    </font>
    <font>
      <b/>
      <sz val="20"/>
      <color indexed="49"/>
      <name val="Dekers"/>
    </font>
    <font>
      <b/>
      <sz val="12"/>
      <name val="Dekers"/>
    </font>
    <font>
      <sz val="12"/>
      <name val="Arial"/>
      <family val="2"/>
    </font>
    <font>
      <b/>
      <sz val="11"/>
      <name val="Dekers"/>
    </font>
    <font>
      <sz val="10"/>
      <name val="Arial"/>
      <family val="2"/>
    </font>
    <font>
      <b/>
      <sz val="12"/>
      <name val="Arial"/>
      <family val="2"/>
    </font>
    <font>
      <u/>
      <sz val="10"/>
      <color theme="10"/>
      <name val="Arial"/>
      <family val="2"/>
    </font>
    <font>
      <i/>
      <sz val="8"/>
      <name val="Arial"/>
      <family val="2"/>
    </font>
    <font>
      <sz val="8"/>
      <color indexed="8"/>
      <name val="Times New Roman"/>
      <family val="1"/>
    </font>
    <font>
      <sz val="10"/>
      <color rgb="FFFF0000"/>
      <name val="Arial"/>
      <family val="2"/>
    </font>
    <font>
      <sz val="9"/>
      <name val="Calibri Light"/>
      <family val="2"/>
    </font>
    <font>
      <u/>
      <sz val="10"/>
      <name val="Arial"/>
      <family val="2"/>
    </font>
    <font>
      <sz val="11"/>
      <name val="Arial"/>
      <family val="2"/>
    </font>
    <font>
      <b/>
      <sz val="8"/>
      <name val="Arial"/>
      <family val="2"/>
    </font>
    <font>
      <b/>
      <sz val="10"/>
      <color rgb="FFFF0000"/>
      <name val="Arial"/>
      <family val="2"/>
    </font>
    <font>
      <sz val="12"/>
      <color rgb="FF000000"/>
      <name val="Calibri"/>
      <family val="2"/>
    </font>
    <font>
      <sz val="9"/>
      <color indexed="81"/>
      <name val="Tahoma"/>
      <family val="2"/>
    </font>
    <font>
      <b/>
      <sz val="9"/>
      <color indexed="81"/>
      <name val="Tahoma"/>
      <family val="2"/>
    </font>
    <font>
      <i/>
      <sz val="7"/>
      <name val="Arial"/>
      <family val="2"/>
    </font>
    <font>
      <sz val="8"/>
      <color indexed="8"/>
      <name val="Arial"/>
      <family val="2"/>
    </font>
    <font>
      <i/>
      <sz val="9"/>
      <name val="Arial"/>
      <family val="2"/>
    </font>
    <font>
      <b/>
      <i/>
      <sz val="8"/>
      <color rgb="FFFF0000"/>
      <name val="Arial"/>
      <family val="2"/>
    </font>
    <font>
      <b/>
      <sz val="16"/>
      <name val="Arial"/>
      <family val="2"/>
    </font>
    <font>
      <b/>
      <sz val="9"/>
      <name val="Arial"/>
      <family val="2"/>
    </font>
    <font>
      <b/>
      <sz val="14"/>
      <name val="Arial"/>
      <family val="2"/>
    </font>
    <font>
      <i/>
      <sz val="10"/>
      <color rgb="FFFF0000"/>
      <name val="Arial"/>
      <family val="2"/>
    </font>
    <font>
      <b/>
      <i/>
      <sz val="9"/>
      <name val="Arial"/>
      <family val="2"/>
    </font>
    <font>
      <sz val="16"/>
      <color indexed="8"/>
      <name val="Times New Roman"/>
      <family val="1"/>
    </font>
    <font>
      <i/>
      <sz val="12"/>
      <name val="Arial"/>
      <family val="2"/>
    </font>
    <font>
      <b/>
      <sz val="18"/>
      <color theme="3"/>
      <name val="Calibri Light"/>
      <family val="2"/>
      <scheme val="major"/>
    </font>
    <font>
      <sz val="11"/>
      <color theme="1"/>
      <name val="Calibri"/>
      <family val="2"/>
      <scheme val="minor"/>
    </font>
    <font>
      <b/>
      <sz val="11"/>
      <color theme="1"/>
      <name val="Calibri"/>
      <family val="2"/>
      <scheme val="minor"/>
    </font>
    <font>
      <u/>
      <sz val="11"/>
      <color theme="10"/>
      <name val="Calibri"/>
      <family val="2"/>
      <scheme val="minor"/>
    </font>
    <font>
      <sz val="11"/>
      <color rgb="FFFF0000"/>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i/>
      <sz val="11"/>
      <color rgb="FF7F7F7F"/>
      <name val="Calibri"/>
      <family val="2"/>
      <scheme val="minor"/>
    </font>
    <font>
      <sz val="11"/>
      <color theme="0"/>
      <name val="Calibri"/>
      <family val="2"/>
      <scheme val="minor"/>
    </font>
    <font>
      <u/>
      <sz val="10"/>
      <color indexed="12"/>
      <name val="Arial"/>
      <family val="2"/>
    </font>
    <font>
      <u/>
      <sz val="8.8000000000000007"/>
      <color indexed="12"/>
      <name val="Calibri"/>
      <family val="2"/>
    </font>
    <font>
      <b/>
      <sz val="10"/>
      <color theme="1"/>
      <name val="Calibri"/>
      <family val="2"/>
      <scheme val="minor"/>
    </font>
    <font>
      <sz val="10"/>
      <color rgb="FF006100"/>
      <name val="Calibri"/>
      <family val="2"/>
      <scheme val="minor"/>
    </font>
    <font>
      <sz val="10"/>
      <color rgb="FF9C0006"/>
      <name val="Calibri"/>
      <family val="2"/>
      <scheme val="minor"/>
    </font>
    <font>
      <sz val="10"/>
      <color rgb="FF9C6500"/>
      <name val="Calibri"/>
      <family val="2"/>
      <scheme val="minor"/>
    </font>
    <font>
      <sz val="10"/>
      <color rgb="FF3F3F76"/>
      <name val="Calibri"/>
      <family val="2"/>
      <scheme val="minor"/>
    </font>
    <font>
      <b/>
      <sz val="10"/>
      <color rgb="FF3F3F3F"/>
      <name val="Calibri"/>
      <family val="2"/>
      <scheme val="minor"/>
    </font>
    <font>
      <b/>
      <sz val="10"/>
      <color rgb="FFFA7D00"/>
      <name val="Calibri"/>
      <family val="2"/>
      <scheme val="minor"/>
    </font>
    <font>
      <sz val="10"/>
      <color rgb="FFFA7D00"/>
      <name val="Calibri"/>
      <family val="2"/>
      <scheme val="minor"/>
    </font>
    <font>
      <b/>
      <sz val="10"/>
      <color theme="0"/>
      <name val="Calibri"/>
      <family val="2"/>
      <scheme val="minor"/>
    </font>
    <font>
      <sz val="10"/>
      <color rgb="FFFF0000"/>
      <name val="Calibri"/>
      <family val="2"/>
      <scheme val="minor"/>
    </font>
    <font>
      <i/>
      <sz val="10"/>
      <color rgb="FF7F7F7F"/>
      <name val="Calibri"/>
      <family val="2"/>
      <scheme val="minor"/>
    </font>
    <font>
      <sz val="10"/>
      <color theme="0"/>
      <name val="Calibri"/>
      <family val="2"/>
      <scheme val="minor"/>
    </font>
    <font>
      <b/>
      <i/>
      <sz val="9"/>
      <color rgb="FFFF0000"/>
      <name val="Arial"/>
      <family val="2"/>
    </font>
    <font>
      <sz val="10"/>
      <name val="Arial"/>
      <family val="2"/>
    </font>
    <font>
      <sz val="8"/>
      <color rgb="FFFF0000"/>
      <name val="Arial"/>
      <family val="2"/>
    </font>
    <font>
      <sz val="9"/>
      <color rgb="FFFF0000"/>
      <name val="Arial"/>
      <family val="2"/>
    </font>
    <font>
      <b/>
      <sz val="12"/>
      <color rgb="FFFF0000"/>
      <name val="Arial"/>
      <family val="2"/>
    </font>
    <font>
      <sz val="6"/>
      <name val="Arial"/>
      <family val="2"/>
    </font>
    <font>
      <sz val="10"/>
      <color rgb="FF000000"/>
      <name val="Arial"/>
      <family val="2"/>
    </font>
    <font>
      <b/>
      <i/>
      <sz val="8"/>
      <name val="Arial"/>
      <family val="2"/>
    </font>
    <font>
      <sz val="7"/>
      <name val="Arial"/>
      <family val="2"/>
    </font>
  </fonts>
  <fills count="96">
    <fill>
      <patternFill patternType="none"/>
    </fill>
    <fill>
      <patternFill patternType="gray125"/>
    </fill>
    <fill>
      <patternFill patternType="solid">
        <fgColor indexed="31"/>
        <bgColor indexed="22"/>
      </patternFill>
    </fill>
    <fill>
      <patternFill patternType="solid">
        <fgColor indexed="45"/>
        <bgColor indexed="29"/>
      </patternFill>
    </fill>
    <fill>
      <patternFill patternType="solid">
        <fgColor indexed="42"/>
        <bgColor indexed="27"/>
      </patternFill>
    </fill>
    <fill>
      <patternFill patternType="solid">
        <fgColor indexed="46"/>
        <bgColor indexed="24"/>
      </patternFill>
    </fill>
    <fill>
      <patternFill patternType="solid">
        <fgColor indexed="27"/>
        <bgColor indexed="41"/>
      </patternFill>
    </fill>
    <fill>
      <patternFill patternType="solid">
        <fgColor indexed="47"/>
        <bgColor indexed="22"/>
      </patternFill>
    </fill>
    <fill>
      <patternFill patternType="solid">
        <fgColor indexed="44"/>
        <bgColor indexed="31"/>
      </patternFill>
    </fill>
    <fill>
      <patternFill patternType="solid">
        <fgColor indexed="29"/>
        <bgColor indexed="45"/>
      </patternFill>
    </fill>
    <fill>
      <patternFill patternType="solid">
        <fgColor indexed="11"/>
        <bgColor indexed="49"/>
      </patternFill>
    </fill>
    <fill>
      <patternFill patternType="solid">
        <fgColor indexed="51"/>
        <bgColor indexed="13"/>
      </patternFill>
    </fill>
    <fill>
      <patternFill patternType="solid">
        <fgColor indexed="30"/>
        <bgColor indexed="21"/>
      </patternFill>
    </fill>
    <fill>
      <patternFill patternType="solid">
        <fgColor indexed="20"/>
        <bgColor indexed="36"/>
      </patternFill>
    </fill>
    <fill>
      <patternFill patternType="solid">
        <fgColor indexed="49"/>
        <bgColor indexed="40"/>
      </patternFill>
    </fill>
    <fill>
      <patternFill patternType="solid">
        <fgColor indexed="52"/>
        <bgColor indexed="51"/>
      </patternFill>
    </fill>
    <fill>
      <patternFill patternType="solid">
        <fgColor indexed="62"/>
        <bgColor indexed="56"/>
      </patternFill>
    </fill>
    <fill>
      <patternFill patternType="solid">
        <fgColor indexed="10"/>
        <bgColor indexed="60"/>
      </patternFill>
    </fill>
    <fill>
      <patternFill patternType="solid">
        <fgColor indexed="57"/>
        <bgColor indexed="21"/>
      </patternFill>
    </fill>
    <fill>
      <patternFill patternType="solid">
        <fgColor indexed="53"/>
        <bgColor indexed="52"/>
      </patternFill>
    </fill>
    <fill>
      <patternFill patternType="solid">
        <fgColor indexed="22"/>
        <bgColor indexed="31"/>
      </patternFill>
    </fill>
    <fill>
      <patternFill patternType="solid">
        <fgColor indexed="26"/>
        <bgColor indexed="9"/>
      </patternFill>
    </fill>
    <fill>
      <patternFill patternType="solid">
        <fgColor indexed="43"/>
        <bgColor indexed="26"/>
      </patternFill>
    </fill>
    <fill>
      <patternFill patternType="solid">
        <fgColor indexed="55"/>
        <bgColor indexed="23"/>
      </patternFill>
    </fill>
    <fill>
      <patternFill patternType="solid">
        <fgColor indexed="40"/>
        <bgColor indexed="49"/>
      </patternFill>
    </fill>
    <fill>
      <patternFill patternType="solid">
        <fgColor theme="5" tint="0.39997558519241921"/>
        <bgColor indexed="64"/>
      </patternFill>
    </fill>
    <fill>
      <patternFill patternType="solid">
        <fgColor theme="7"/>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3" tint="0.39997558519241921"/>
        <bgColor indexed="64"/>
      </patternFill>
    </fill>
    <fill>
      <patternFill patternType="solid">
        <fgColor theme="4" tint="0.39997558519241921"/>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rgb="FFFFC000"/>
        <bgColor indexed="64"/>
      </patternFill>
    </fill>
    <fill>
      <patternFill patternType="solid">
        <fgColor theme="9" tint="0.39994506668294322"/>
        <bgColor indexed="49"/>
      </patternFill>
    </fill>
    <fill>
      <patternFill patternType="solid">
        <fgColor theme="0" tint="-0.34998626667073579"/>
        <bgColor indexed="64"/>
      </patternFill>
    </fill>
    <fill>
      <patternFill patternType="solid">
        <fgColor rgb="FFFFFF00"/>
        <bgColor indexed="64"/>
      </patternFill>
    </fill>
    <fill>
      <patternFill patternType="solid">
        <fgColor theme="6" tint="-0.249977111117893"/>
        <bgColor indexed="64"/>
      </patternFill>
    </fill>
    <fill>
      <patternFill patternType="solid">
        <fgColor theme="7" tint="0.39997558519241921"/>
        <bgColor indexed="41"/>
      </patternFill>
    </fill>
    <fill>
      <patternFill patternType="solid">
        <fgColor indexed="50"/>
        <bgColor indexed="64"/>
      </patternFill>
    </fill>
    <fill>
      <patternFill patternType="solid">
        <fgColor theme="0" tint="-0.14999847407452621"/>
        <bgColor indexed="64"/>
      </patternFill>
    </fill>
    <fill>
      <patternFill patternType="solid">
        <fgColor theme="2" tint="-9.9978637043366805E-2"/>
        <bgColor indexed="64"/>
      </patternFill>
    </fill>
    <fill>
      <patternFill patternType="solid">
        <fgColor rgb="FFFF0000"/>
        <bgColor indexed="64"/>
      </patternFill>
    </fill>
    <fill>
      <patternFill patternType="solid">
        <fgColor theme="7" tint="0.79998168889431442"/>
        <bgColor indexed="64"/>
      </patternFill>
    </fill>
    <fill>
      <patternFill patternType="solid">
        <fgColor theme="0" tint="-0.249977111117893"/>
        <bgColor indexed="64"/>
      </patternFill>
    </fill>
    <fill>
      <patternFill patternType="solid">
        <fgColor theme="3" tint="0.59999389629810485"/>
        <bgColor indexed="64"/>
      </patternFill>
    </fill>
    <fill>
      <patternFill patternType="solid">
        <fgColor rgb="FFFFFF99"/>
        <bgColor indexed="64"/>
      </patternFill>
    </fill>
    <fill>
      <patternFill patternType="solid">
        <fgColor rgb="FFFF99CC"/>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indexed="64"/>
      </patternFill>
    </fill>
    <fill>
      <patternFill patternType="solid">
        <fgColor theme="5" tint="0.59996337778862885"/>
        <bgColor indexed="64"/>
      </patternFill>
    </fill>
    <fill>
      <patternFill patternType="solid">
        <fgColor theme="3" tint="0.79998168889431442"/>
        <bgColor indexed="64"/>
      </patternFill>
    </fill>
    <fill>
      <patternFill patternType="solid">
        <fgColor theme="6" tint="0.79998168889431442"/>
        <bgColor indexed="64"/>
      </patternFill>
    </fill>
    <fill>
      <patternFill patternType="solid">
        <fgColor rgb="FF92D050"/>
        <bgColor indexed="64"/>
      </patternFill>
    </fill>
    <fill>
      <patternFill patternType="solid">
        <fgColor rgb="FF33CCCC"/>
        <bgColor indexed="49"/>
      </patternFill>
    </fill>
    <fill>
      <patternFill patternType="solid">
        <fgColor theme="8" tint="0.59999389629810485"/>
        <bgColor indexed="64"/>
      </patternFill>
    </fill>
    <fill>
      <patternFill patternType="solid">
        <fgColor theme="5" tint="-0.249977111117893"/>
        <bgColor indexed="64"/>
      </patternFill>
    </fill>
    <fill>
      <patternFill patternType="solid">
        <fgColor theme="5" tint="0.39997558519241921"/>
        <bgColor indexed="34"/>
      </patternFill>
    </fill>
    <fill>
      <patternFill patternType="solid">
        <fgColor rgb="FFFFA500"/>
        <bgColor indexed="64"/>
      </patternFill>
    </fill>
    <fill>
      <patternFill patternType="solid">
        <fgColor indexed="31"/>
        <bgColor indexed="64"/>
      </patternFill>
    </fill>
  </fills>
  <borders count="57">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8"/>
      </left>
      <right/>
      <top style="thin">
        <color indexed="8"/>
      </top>
      <bottom/>
      <diagonal/>
    </border>
    <border>
      <left/>
      <right/>
      <top style="thin">
        <color indexed="8"/>
      </top>
      <bottom/>
      <diagonal/>
    </border>
    <border>
      <left style="thin">
        <color indexed="8"/>
      </left>
      <right style="thin">
        <color indexed="8"/>
      </right>
      <top style="thin">
        <color indexed="8"/>
      </top>
      <bottom/>
      <diagonal/>
    </border>
    <border>
      <left style="thin">
        <color indexed="8"/>
      </left>
      <right/>
      <top/>
      <bottom/>
      <diagonal/>
    </border>
    <border>
      <left style="thin">
        <color indexed="8"/>
      </left>
      <right style="thin">
        <color indexed="8"/>
      </right>
      <top/>
      <bottom/>
      <diagonal/>
    </border>
    <border>
      <left style="thin">
        <color indexed="8"/>
      </left>
      <right/>
      <top/>
      <bottom style="thin">
        <color indexed="8"/>
      </bottom>
      <diagonal/>
    </border>
    <border>
      <left/>
      <right/>
      <top/>
      <bottom style="thin">
        <color indexed="8"/>
      </bottom>
      <diagonal/>
    </border>
    <border>
      <left style="thin">
        <color indexed="8"/>
      </left>
      <right style="thin">
        <color indexed="8"/>
      </right>
      <top/>
      <bottom style="thin">
        <color indexed="8"/>
      </bottom>
      <diagonal/>
    </border>
    <border>
      <left style="thin">
        <color indexed="8"/>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s>
  <cellStyleXfs count="549">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34" fillId="21" borderId="3" applyNumberFormat="0" applyAlignment="0" applyProtection="0"/>
    <xf numFmtId="0" fontId="7" fillId="7" borderId="1" applyNumberFormat="0" applyAlignment="0" applyProtection="0"/>
    <xf numFmtId="166" fontId="34" fillId="0" borderId="0" applyFill="0" applyBorder="0" applyAlignment="0" applyProtection="0"/>
    <xf numFmtId="0" fontId="8" fillId="3" borderId="0" applyNumberFormat="0" applyBorder="0" applyAlignment="0" applyProtection="0"/>
    <xf numFmtId="0" fontId="9" fillId="22" borderId="0" applyNumberFormat="0" applyBorder="0" applyAlignment="0" applyProtection="0"/>
    <xf numFmtId="9" fontId="34" fillId="0" borderId="0" applyFill="0" applyBorder="0" applyAlignment="0" applyProtection="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36" fillId="0" borderId="0" applyNumberFormat="0" applyFill="0" applyBorder="0" applyAlignment="0" applyProtection="0"/>
    <xf numFmtId="0" fontId="59" fillId="0" borderId="0" applyNumberFormat="0" applyFill="0" applyBorder="0" applyAlignment="0" applyProtection="0"/>
    <xf numFmtId="0" fontId="60" fillId="0" borderId="0"/>
    <xf numFmtId="0" fontId="62" fillId="0" borderId="0" applyNumberFormat="0" applyFill="0" applyBorder="0" applyAlignment="0" applyProtection="0"/>
    <xf numFmtId="0" fontId="34" fillId="0" borderId="0"/>
    <xf numFmtId="0" fontId="34" fillId="0" borderId="0"/>
    <xf numFmtId="0" fontId="34" fillId="0" borderId="0"/>
    <xf numFmtId="0" fontId="34" fillId="0" borderId="0"/>
    <xf numFmtId="0" fontId="64" fillId="0" borderId="47" applyNumberFormat="0" applyFill="0" applyAlignment="0" applyProtection="0"/>
    <xf numFmtId="0" fontId="65" fillId="0" borderId="48" applyNumberFormat="0" applyFill="0" applyAlignment="0" applyProtection="0"/>
    <xf numFmtId="0" fontId="66" fillId="0" borderId="49" applyNumberFormat="0" applyFill="0" applyAlignment="0" applyProtection="0"/>
    <xf numFmtId="0" fontId="66" fillId="0" borderId="0" applyNumberFormat="0" applyFill="0" applyBorder="0" applyAlignment="0" applyProtection="0"/>
    <xf numFmtId="0" fontId="67" fillId="54" borderId="0" applyNumberFormat="0" applyBorder="0" applyAlignment="0" applyProtection="0"/>
    <xf numFmtId="0" fontId="68" fillId="55" borderId="0" applyNumberFormat="0" applyBorder="0" applyAlignment="0" applyProtection="0"/>
    <xf numFmtId="0" fontId="69" fillId="56" borderId="0" applyNumberFormat="0" applyBorder="0" applyAlignment="0" applyProtection="0"/>
    <xf numFmtId="0" fontId="70" fillId="57" borderId="50" applyNumberFormat="0" applyAlignment="0" applyProtection="0"/>
    <xf numFmtId="0" fontId="71" fillId="58" borderId="51" applyNumberFormat="0" applyAlignment="0" applyProtection="0"/>
    <xf numFmtId="0" fontId="72" fillId="58" borderId="50" applyNumberFormat="0" applyAlignment="0" applyProtection="0"/>
    <xf numFmtId="0" fontId="73" fillId="0" borderId="52" applyNumberFormat="0" applyFill="0" applyAlignment="0" applyProtection="0"/>
    <xf numFmtId="0" fontId="74" fillId="59" borderId="53" applyNumberFormat="0" applyAlignment="0" applyProtection="0"/>
    <xf numFmtId="0" fontId="63" fillId="0" borderId="0" applyNumberFormat="0" applyFill="0" applyBorder="0" applyAlignment="0" applyProtection="0"/>
    <xf numFmtId="0" fontId="60" fillId="60" borderId="54" applyNumberFormat="0" applyFont="0" applyAlignment="0" applyProtection="0"/>
    <xf numFmtId="0" fontId="75" fillId="0" borderId="0" applyNumberFormat="0" applyFill="0" applyBorder="0" applyAlignment="0" applyProtection="0"/>
    <xf numFmtId="0" fontId="61" fillId="0" borderId="55" applyNumberFormat="0" applyFill="0" applyAlignment="0" applyProtection="0"/>
    <xf numFmtId="0" fontId="76" fillId="61" borderId="0" applyNumberFormat="0" applyBorder="0" applyAlignment="0" applyProtection="0"/>
    <xf numFmtId="0" fontId="60" fillId="62" borderId="0" applyNumberFormat="0" applyBorder="0" applyAlignment="0" applyProtection="0"/>
    <xf numFmtId="0" fontId="60" fillId="63" borderId="0" applyNumberFormat="0" applyBorder="0" applyAlignment="0" applyProtection="0"/>
    <xf numFmtId="0" fontId="76" fillId="64" borderId="0" applyNumberFormat="0" applyBorder="0" applyAlignment="0" applyProtection="0"/>
    <xf numFmtId="0" fontId="76" fillId="65" borderId="0" applyNumberFormat="0" applyBorder="0" applyAlignment="0" applyProtection="0"/>
    <xf numFmtId="0" fontId="60" fillId="66" borderId="0" applyNumberFormat="0" applyBorder="0" applyAlignment="0" applyProtection="0"/>
    <xf numFmtId="0" fontId="60" fillId="67" borderId="0" applyNumberFormat="0" applyBorder="0" applyAlignment="0" applyProtection="0"/>
    <xf numFmtId="0" fontId="76" fillId="68" borderId="0" applyNumberFormat="0" applyBorder="0" applyAlignment="0" applyProtection="0"/>
    <xf numFmtId="0" fontId="76" fillId="69" borderId="0" applyNumberFormat="0" applyBorder="0" applyAlignment="0" applyProtection="0"/>
    <xf numFmtId="0" fontId="60" fillId="70" borderId="0" applyNumberFormat="0" applyBorder="0" applyAlignment="0" applyProtection="0"/>
    <xf numFmtId="0" fontId="60" fillId="71" borderId="0" applyNumberFormat="0" applyBorder="0" applyAlignment="0" applyProtection="0"/>
    <xf numFmtId="0" fontId="76" fillId="72" borderId="0" applyNumberFormat="0" applyBorder="0" applyAlignment="0" applyProtection="0"/>
    <xf numFmtId="0" fontId="76" fillId="73" borderId="0" applyNumberFormat="0" applyBorder="0" applyAlignment="0" applyProtection="0"/>
    <xf numFmtId="0" fontId="60" fillId="74" borderId="0" applyNumberFormat="0" applyBorder="0" applyAlignment="0" applyProtection="0"/>
    <xf numFmtId="0" fontId="60" fillId="75" borderId="0" applyNumberFormat="0" applyBorder="0" applyAlignment="0" applyProtection="0"/>
    <xf numFmtId="0" fontId="76" fillId="76" borderId="0" applyNumberFormat="0" applyBorder="0" applyAlignment="0" applyProtection="0"/>
    <xf numFmtId="0" fontId="76" fillId="77" borderId="0" applyNumberFormat="0" applyBorder="0" applyAlignment="0" applyProtection="0"/>
    <xf numFmtId="0" fontId="60" fillId="78" borderId="0" applyNumberFormat="0" applyBorder="0" applyAlignment="0" applyProtection="0"/>
    <xf numFmtId="0" fontId="60" fillId="79" borderId="0" applyNumberFormat="0" applyBorder="0" applyAlignment="0" applyProtection="0"/>
    <xf numFmtId="0" fontId="76" fillId="80" borderId="0" applyNumberFormat="0" applyBorder="0" applyAlignment="0" applyProtection="0"/>
    <xf numFmtId="0" fontId="76" fillId="81" borderId="0" applyNumberFormat="0" applyBorder="0" applyAlignment="0" applyProtection="0"/>
    <xf numFmtId="0" fontId="60" fillId="82" borderId="0" applyNumberFormat="0" applyBorder="0" applyAlignment="0" applyProtection="0"/>
    <xf numFmtId="0" fontId="60" fillId="83" borderId="0" applyNumberFormat="0" applyBorder="0" applyAlignment="0" applyProtection="0"/>
    <xf numFmtId="0" fontId="76" fillId="84" borderId="0" applyNumberFormat="0" applyBorder="0" applyAlignment="0" applyProtection="0"/>
    <xf numFmtId="0" fontId="34" fillId="0" borderId="0"/>
    <xf numFmtId="0" fontId="77" fillId="0" borderId="20" applyNumberFormat="0" applyFill="0" applyProtection="0">
      <alignment horizontal="left"/>
    </xf>
    <xf numFmtId="182" fontId="77" fillId="0" borderId="20" applyFill="0" applyProtection="0">
      <alignment horizontal="right"/>
    </xf>
    <xf numFmtId="0" fontId="77" fillId="0" borderId="20" applyNumberFormat="0" applyFill="0" applyProtection="0">
      <alignment horizontal="left"/>
    </xf>
    <xf numFmtId="182" fontId="77" fillId="0" borderId="20" applyFill="0" applyProtection="0">
      <alignment horizontal="right"/>
    </xf>
    <xf numFmtId="0" fontId="34" fillId="0" borderId="0"/>
    <xf numFmtId="0" fontId="77" fillId="0" borderId="20" applyNumberFormat="0" applyFill="0" applyProtection="0">
      <alignment horizontal="left"/>
    </xf>
    <xf numFmtId="182" fontId="77" fillId="0" borderId="20" applyFill="0" applyProtection="0">
      <alignment horizontal="right"/>
    </xf>
    <xf numFmtId="165" fontId="60" fillId="0" borderId="0" applyFont="0" applyFill="0" applyBorder="0" applyAlignment="0" applyProtection="0"/>
    <xf numFmtId="9" fontId="2" fillId="0" borderId="0" applyFont="0" applyFill="0" applyBorder="0" applyAlignment="0" applyProtection="0"/>
    <xf numFmtId="0" fontId="34" fillId="0" borderId="0"/>
    <xf numFmtId="0" fontId="77" fillId="0" borderId="20" applyNumberFormat="0" applyFill="0" applyProtection="0">
      <alignment horizontal="left"/>
    </xf>
    <xf numFmtId="182"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8" fillId="0" borderId="0" applyNumberFormat="0" applyFill="0" applyBorder="0" applyAlignment="0" applyProtection="0">
      <alignment vertical="top"/>
      <protection locked="0"/>
    </xf>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80" fillId="54" borderId="0" applyNumberFormat="0" applyBorder="0" applyAlignment="0" applyProtection="0"/>
    <xf numFmtId="0" fontId="81" fillId="55" borderId="0" applyNumberFormat="0" applyBorder="0" applyAlignment="0" applyProtection="0"/>
    <xf numFmtId="0" fontId="82" fillId="56" borderId="0" applyNumberFormat="0" applyBorder="0" applyAlignment="0" applyProtection="0"/>
    <xf numFmtId="0" fontId="83" fillId="57" borderId="50" applyNumberFormat="0" applyAlignment="0" applyProtection="0"/>
    <xf numFmtId="0" fontId="84" fillId="58" borderId="51" applyNumberFormat="0" applyAlignment="0" applyProtection="0"/>
    <xf numFmtId="0" fontId="85" fillId="58" borderId="50" applyNumberFormat="0" applyAlignment="0" applyProtection="0"/>
    <xf numFmtId="0" fontId="86" fillId="0" borderId="52" applyNumberFormat="0" applyFill="0" applyAlignment="0" applyProtection="0"/>
    <xf numFmtId="0" fontId="87" fillId="59" borderId="53" applyNumberFormat="0" applyAlignment="0" applyProtection="0"/>
    <xf numFmtId="0" fontId="88" fillId="0" borderId="0" applyNumberFormat="0" applyFill="0" applyBorder="0" applyAlignment="0" applyProtection="0"/>
    <xf numFmtId="0" fontId="1" fillId="60" borderId="54" applyNumberFormat="0" applyFont="0" applyAlignment="0" applyProtection="0"/>
    <xf numFmtId="0" fontId="89" fillId="0" borderId="0" applyNumberFormat="0" applyFill="0" applyBorder="0" applyAlignment="0" applyProtection="0"/>
    <xf numFmtId="0" fontId="79" fillId="0" borderId="55" applyNumberFormat="0" applyFill="0" applyAlignment="0" applyProtection="0"/>
    <xf numFmtId="0" fontId="90" fillId="61" borderId="0" applyNumberFormat="0" applyBorder="0" applyAlignment="0" applyProtection="0"/>
    <xf numFmtId="0" fontId="1" fillId="62" borderId="0" applyNumberFormat="0" applyBorder="0" applyAlignment="0" applyProtection="0"/>
    <xf numFmtId="0" fontId="1" fillId="63" borderId="0" applyNumberFormat="0" applyBorder="0" applyAlignment="0" applyProtection="0"/>
    <xf numFmtId="0" fontId="90" fillId="64" borderId="0" applyNumberFormat="0" applyBorder="0" applyAlignment="0" applyProtection="0"/>
    <xf numFmtId="0" fontId="90" fillId="65"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90" fillId="68" borderId="0" applyNumberFormat="0" applyBorder="0" applyAlignment="0" applyProtection="0"/>
    <xf numFmtId="0" fontId="90" fillId="69"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90" fillId="72" borderId="0" applyNumberFormat="0" applyBorder="0" applyAlignment="0" applyProtection="0"/>
    <xf numFmtId="0" fontId="90" fillId="73"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90" fillId="76" borderId="0" applyNumberFormat="0" applyBorder="0" applyAlignment="0" applyProtection="0"/>
    <xf numFmtId="0" fontId="90" fillId="77"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90" fillId="80" borderId="0" applyNumberFormat="0" applyBorder="0" applyAlignment="0" applyProtection="0"/>
    <xf numFmtId="0" fontId="90" fillId="81"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90" fillId="84"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69" fillId="56" borderId="0" applyNumberFormat="0" applyBorder="0" applyAlignment="0" applyProtection="0"/>
    <xf numFmtId="0" fontId="70" fillId="57" borderId="50" applyNumberFormat="0" applyAlignment="0" applyProtection="0"/>
    <xf numFmtId="0" fontId="71" fillId="58" borderId="51" applyNumberFormat="0" applyAlignment="0" applyProtection="0"/>
    <xf numFmtId="0" fontId="72" fillId="58" borderId="50" applyNumberFormat="0" applyAlignment="0" applyProtection="0"/>
    <xf numFmtId="0" fontId="73" fillId="0" borderId="52" applyNumberFormat="0" applyFill="0" applyAlignment="0" applyProtection="0"/>
    <xf numFmtId="0" fontId="74" fillId="59" borderId="53" applyNumberFormat="0" applyAlignment="0" applyProtection="0"/>
    <xf numFmtId="0" fontId="63" fillId="0" borderId="0" applyNumberFormat="0" applyFill="0" applyBorder="0" applyAlignment="0" applyProtection="0"/>
    <xf numFmtId="0" fontId="75" fillId="0" borderId="0" applyNumberFormat="0" applyFill="0" applyBorder="0" applyAlignment="0" applyProtection="0"/>
    <xf numFmtId="0" fontId="61" fillId="0" borderId="55" applyNumberFormat="0" applyFill="0" applyAlignment="0" applyProtection="0"/>
    <xf numFmtId="0" fontId="76" fillId="61" borderId="0" applyNumberFormat="0" applyBorder="0" applyAlignment="0" applyProtection="0"/>
    <xf numFmtId="0" fontId="60" fillId="62" borderId="0" applyNumberFormat="0" applyBorder="0" applyAlignment="0" applyProtection="0"/>
    <xf numFmtId="0" fontId="60" fillId="63" borderId="0" applyNumberFormat="0" applyBorder="0" applyAlignment="0" applyProtection="0"/>
    <xf numFmtId="0" fontId="76" fillId="64" borderId="0" applyNumberFormat="0" applyBorder="0" applyAlignment="0" applyProtection="0"/>
    <xf numFmtId="0" fontId="76" fillId="65" borderId="0" applyNumberFormat="0" applyBorder="0" applyAlignment="0" applyProtection="0"/>
    <xf numFmtId="0" fontId="60" fillId="66" borderId="0" applyNumberFormat="0" applyBorder="0" applyAlignment="0" applyProtection="0"/>
    <xf numFmtId="0" fontId="60" fillId="67" borderId="0" applyNumberFormat="0" applyBorder="0" applyAlignment="0" applyProtection="0"/>
    <xf numFmtId="0" fontId="76" fillId="68" borderId="0" applyNumberFormat="0" applyBorder="0" applyAlignment="0" applyProtection="0"/>
    <xf numFmtId="0" fontId="76" fillId="69" borderId="0" applyNumberFormat="0" applyBorder="0" applyAlignment="0" applyProtection="0"/>
    <xf numFmtId="0" fontId="60" fillId="70" borderId="0" applyNumberFormat="0" applyBorder="0" applyAlignment="0" applyProtection="0"/>
    <xf numFmtId="0" fontId="60" fillId="71" borderId="0" applyNumberFormat="0" applyBorder="0" applyAlignment="0" applyProtection="0"/>
    <xf numFmtId="0" fontId="76" fillId="72" borderId="0" applyNumberFormat="0" applyBorder="0" applyAlignment="0" applyProtection="0"/>
    <xf numFmtId="0" fontId="76" fillId="73" borderId="0" applyNumberFormat="0" applyBorder="0" applyAlignment="0" applyProtection="0"/>
    <xf numFmtId="0" fontId="60" fillId="74" borderId="0" applyNumberFormat="0" applyBorder="0" applyAlignment="0" applyProtection="0"/>
    <xf numFmtId="0" fontId="60" fillId="75" borderId="0" applyNumberFormat="0" applyBorder="0" applyAlignment="0" applyProtection="0"/>
    <xf numFmtId="0" fontId="76" fillId="76" borderId="0" applyNumberFormat="0" applyBorder="0" applyAlignment="0" applyProtection="0"/>
    <xf numFmtId="0" fontId="76" fillId="77" borderId="0" applyNumberFormat="0" applyBorder="0" applyAlignment="0" applyProtection="0"/>
    <xf numFmtId="0" fontId="60" fillId="78" borderId="0" applyNumberFormat="0" applyBorder="0" applyAlignment="0" applyProtection="0"/>
    <xf numFmtId="0" fontId="60" fillId="79" borderId="0" applyNumberFormat="0" applyBorder="0" applyAlignment="0" applyProtection="0"/>
    <xf numFmtId="0" fontId="76" fillId="80" borderId="0" applyNumberFormat="0" applyBorder="0" applyAlignment="0" applyProtection="0"/>
    <xf numFmtId="0" fontId="76" fillId="81" borderId="0" applyNumberFormat="0" applyBorder="0" applyAlignment="0" applyProtection="0"/>
    <xf numFmtId="0" fontId="60" fillId="82" borderId="0" applyNumberFormat="0" applyBorder="0" applyAlignment="0" applyProtection="0"/>
    <xf numFmtId="0" fontId="60" fillId="83" borderId="0" applyNumberFormat="0" applyBorder="0" applyAlignment="0" applyProtection="0"/>
    <xf numFmtId="0" fontId="76" fillId="84" borderId="0" applyNumberFormat="0" applyBorder="0" applyAlignment="0" applyProtection="0"/>
    <xf numFmtId="0" fontId="34" fillId="0" borderId="0"/>
    <xf numFmtId="0" fontId="77" fillId="0" borderId="20" applyNumberFormat="0" applyFill="0" applyProtection="0">
      <alignment horizontal="left"/>
    </xf>
    <xf numFmtId="182" fontId="77" fillId="0" borderId="20" applyFill="0" applyProtection="0">
      <alignment horizontal="right"/>
    </xf>
    <xf numFmtId="0" fontId="77" fillId="0" borderId="20" applyNumberFormat="0" applyFill="0" applyProtection="0">
      <alignment horizontal="left"/>
    </xf>
    <xf numFmtId="182" fontId="77" fillId="0" borderId="20" applyFill="0" applyProtection="0">
      <alignment horizontal="right"/>
    </xf>
    <xf numFmtId="0" fontId="34" fillId="0" borderId="0"/>
    <xf numFmtId="0" fontId="77" fillId="0" borderId="20" applyNumberFormat="0" applyFill="0" applyProtection="0">
      <alignment horizontal="left"/>
    </xf>
    <xf numFmtId="182" fontId="77" fillId="0" borderId="20" applyFill="0" applyProtection="0">
      <alignment horizontal="right"/>
    </xf>
    <xf numFmtId="0" fontId="34" fillId="0" borderId="0"/>
    <xf numFmtId="0" fontId="77" fillId="0" borderId="20" applyNumberFormat="0" applyFill="0" applyProtection="0">
      <alignment horizontal="left"/>
    </xf>
    <xf numFmtId="182"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34" fillId="0" borderId="0"/>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1" fillId="60" borderId="54" applyNumberFormat="0" applyFont="0" applyAlignment="0" applyProtection="0"/>
    <xf numFmtId="0" fontId="1" fillId="62" borderId="0" applyNumberFormat="0" applyBorder="0" applyAlignment="0" applyProtection="0"/>
    <xf numFmtId="0" fontId="1" fillId="63" borderId="0" applyNumberFormat="0" applyBorder="0" applyAlignment="0" applyProtection="0"/>
    <xf numFmtId="0" fontId="1" fillId="66" borderId="0" applyNumberFormat="0" applyBorder="0" applyAlignment="0" applyProtection="0"/>
    <xf numFmtId="0" fontId="1" fillId="67" borderId="0" applyNumberFormat="0" applyBorder="0" applyAlignment="0" applyProtection="0"/>
    <xf numFmtId="0" fontId="1" fillId="70" borderId="0" applyNumberFormat="0" applyBorder="0" applyAlignment="0" applyProtection="0"/>
    <xf numFmtId="0" fontId="1" fillId="71" borderId="0" applyNumberFormat="0" applyBorder="0" applyAlignment="0" applyProtection="0"/>
    <xf numFmtId="0" fontId="1" fillId="74" borderId="0" applyNumberFormat="0" applyBorder="0" applyAlignment="0" applyProtection="0"/>
    <xf numFmtId="0" fontId="1" fillId="75" borderId="0" applyNumberFormat="0" applyBorder="0" applyAlignment="0" applyProtection="0"/>
    <xf numFmtId="0" fontId="1" fillId="78" borderId="0" applyNumberFormat="0" applyBorder="0" applyAlignment="0" applyProtection="0"/>
    <xf numFmtId="0" fontId="1" fillId="79" borderId="0" applyNumberFormat="0" applyBorder="0" applyAlignment="0" applyProtection="0"/>
    <xf numFmtId="0" fontId="1" fillId="82" borderId="0" applyNumberFormat="0" applyBorder="0" applyAlignment="0" applyProtection="0"/>
    <xf numFmtId="0" fontId="1" fillId="83" borderId="0" applyNumberFormat="0" applyBorder="0" applyAlignment="0" applyProtection="0"/>
    <xf numFmtId="0" fontId="77" fillId="0" borderId="20" applyNumberFormat="0" applyFill="0" applyProtection="0">
      <alignment horizontal="left"/>
    </xf>
    <xf numFmtId="14" fontId="77" fillId="0" borderId="20"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165" fontId="60" fillId="0" borderId="0" applyFont="0" applyFill="0" applyBorder="0" applyAlignment="0" applyProtection="0"/>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82"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56" applyNumberFormat="0" applyFill="0" applyProtection="0">
      <alignment horizontal="left"/>
    </xf>
    <xf numFmtId="14" fontId="77" fillId="0" borderId="56" applyFill="0" applyProtection="0">
      <alignment horizontal="right"/>
    </xf>
    <xf numFmtId="0" fontId="77" fillId="0" borderId="0" applyNumberFormat="0" applyFill="0" applyBorder="0" applyAlignment="0" applyProtection="0"/>
    <xf numFmtId="183" fontId="34" fillId="0" borderId="0" applyFill="0" applyBorder="0" applyAlignment="0" applyProtection="0"/>
    <xf numFmtId="164" fontId="92" fillId="0" borderId="0" applyFill="0" applyBorder="0" applyAlignment="0" applyProtection="0"/>
  </cellStyleXfs>
  <cellXfs count="808">
    <xf numFmtId="0" fontId="0" fillId="0" borderId="0" xfId="0"/>
    <xf numFmtId="0" fontId="19" fillId="0" borderId="0" xfId="0" applyFont="1"/>
    <xf numFmtId="0" fontId="20" fillId="0" borderId="0" xfId="0" applyFont="1"/>
    <xf numFmtId="0" fontId="21" fillId="6" borderId="0" xfId="0" applyFont="1" applyFill="1" applyAlignment="1">
      <alignment vertical="center"/>
    </xf>
    <xf numFmtId="0" fontId="0" fillId="6" borderId="0" xfId="0" applyFill="1"/>
    <xf numFmtId="0" fontId="0" fillId="0" borderId="0" xfId="0" applyFill="1" applyAlignment="1"/>
    <xf numFmtId="0" fontId="21" fillId="0" borderId="0" xfId="0" applyFont="1" applyFill="1" applyAlignment="1">
      <alignment horizontal="left" vertical="center"/>
    </xf>
    <xf numFmtId="0" fontId="0" fillId="0" borderId="0" xfId="0" applyFill="1"/>
    <xf numFmtId="0" fontId="0" fillId="0" borderId="0" xfId="0" applyAlignment="1">
      <alignment horizontal="center" vertical="center"/>
    </xf>
    <xf numFmtId="0" fontId="20" fillId="0" borderId="0" xfId="0" applyFont="1" applyAlignment="1">
      <alignment horizontal="center" vertical="center"/>
    </xf>
    <xf numFmtId="0" fontId="0" fillId="0" borderId="0" xfId="0" applyFont="1" applyAlignment="1">
      <alignment horizontal="center" vertical="center"/>
    </xf>
    <xf numFmtId="0" fontId="20" fillId="0" borderId="0" xfId="0" applyFont="1" applyAlignment="1">
      <alignment horizontal="center" vertical="center" wrapText="1"/>
    </xf>
    <xf numFmtId="0" fontId="0" fillId="0" borderId="0" xfId="0" applyAlignment="1">
      <alignment horizontal="center"/>
    </xf>
    <xf numFmtId="0" fontId="0" fillId="0" borderId="0" xfId="0" applyFont="1" applyAlignment="1">
      <alignment horizontal="center"/>
    </xf>
    <xf numFmtId="167" fontId="0" fillId="0" borderId="0" xfId="0" applyNumberFormat="1" applyFont="1"/>
    <xf numFmtId="168" fontId="0" fillId="0" borderId="0" xfId="0" applyNumberFormat="1"/>
    <xf numFmtId="169" fontId="24" fillId="0" borderId="0" xfId="0" applyNumberFormat="1" applyFont="1"/>
    <xf numFmtId="170" fontId="25" fillId="0" borderId="0" xfId="0" applyNumberFormat="1" applyFont="1"/>
    <xf numFmtId="0" fontId="0" fillId="0" borderId="0" xfId="0" applyFont="1"/>
    <xf numFmtId="0" fontId="24" fillId="0" borderId="0" xfId="0" applyFont="1" applyAlignment="1">
      <alignment horizontal="right"/>
    </xf>
    <xf numFmtId="0" fontId="0" fillId="0" borderId="0" xfId="0" applyNumberFormat="1"/>
    <xf numFmtId="0" fontId="25" fillId="0" borderId="0" xfId="0" applyFont="1"/>
    <xf numFmtId="168" fontId="20" fillId="4" borderId="0" xfId="0" applyNumberFormat="1" applyFont="1" applyFill="1"/>
    <xf numFmtId="0" fontId="26" fillId="0" borderId="0" xfId="0" applyFont="1" applyAlignment="1">
      <alignment horizontal="right"/>
    </xf>
    <xf numFmtId="10" fontId="26" fillId="0" borderId="0" xfId="33" applyNumberFormat="1" applyFont="1" applyFill="1" applyBorder="1" applyAlignment="1" applyProtection="1"/>
    <xf numFmtId="0" fontId="27" fillId="0" borderId="0" xfId="0" applyFont="1" applyBorder="1" applyAlignment="1">
      <alignment vertical="center"/>
    </xf>
    <xf numFmtId="0" fontId="28" fillId="0" borderId="0" xfId="0" applyFont="1" applyBorder="1" applyAlignment="1">
      <alignment horizontal="center" vertical="center"/>
    </xf>
    <xf numFmtId="0" fontId="21" fillId="0" borderId="0" xfId="0" applyFont="1" applyAlignment="1">
      <alignment vertical="center"/>
    </xf>
    <xf numFmtId="0" fontId="21" fillId="0" borderId="0" xfId="0" applyFont="1" applyAlignment="1">
      <alignment horizontal="left" vertical="center"/>
    </xf>
    <xf numFmtId="0" fontId="21" fillId="0" borderId="0" xfId="0" applyFont="1" applyAlignment="1">
      <alignment horizontal="right"/>
    </xf>
    <xf numFmtId="0" fontId="0" fillId="0" borderId="0" xfId="0" applyBorder="1"/>
    <xf numFmtId="0" fontId="0" fillId="0" borderId="10" xfId="0" applyBorder="1"/>
    <xf numFmtId="0" fontId="0" fillId="0" borderId="11" xfId="0" applyBorder="1"/>
    <xf numFmtId="0" fontId="0" fillId="0" borderId="12" xfId="0" applyBorder="1"/>
    <xf numFmtId="0" fontId="0" fillId="0" borderId="13" xfId="0" applyBorder="1"/>
    <xf numFmtId="0" fontId="20" fillId="0" borderId="13" xfId="0" applyFont="1" applyBorder="1" applyAlignment="1">
      <alignment horizontal="center" vertical="center"/>
    </xf>
    <xf numFmtId="0" fontId="20" fillId="0" borderId="14" xfId="0" applyFont="1" applyBorder="1" applyAlignment="1">
      <alignment horizontal="center" vertical="center"/>
    </xf>
    <xf numFmtId="0" fontId="0" fillId="0" borderId="15" xfId="0" applyBorder="1"/>
    <xf numFmtId="0" fontId="0" fillId="0" borderId="16" xfId="0" applyBorder="1"/>
    <xf numFmtId="0" fontId="0" fillId="0" borderId="17" xfId="0" applyBorder="1"/>
    <xf numFmtId="0" fontId="0" fillId="0" borderId="14" xfId="0" applyBorder="1"/>
    <xf numFmtId="0" fontId="21" fillId="0" borderId="13" xfId="0" applyFont="1" applyBorder="1" applyAlignment="1">
      <alignment vertical="center"/>
    </xf>
    <xf numFmtId="0" fontId="21" fillId="0" borderId="14" xfId="0" applyFont="1" applyBorder="1" applyAlignment="1">
      <alignment horizontal="left" vertical="center"/>
    </xf>
    <xf numFmtId="0" fontId="0" fillId="0" borderId="13" xfId="0" applyBorder="1" applyAlignment="1"/>
    <xf numFmtId="0" fontId="21" fillId="0" borderId="13" xfId="0" applyNumberFormat="1" applyFont="1" applyBorder="1" applyAlignment="1">
      <alignment vertical="center"/>
    </xf>
    <xf numFmtId="0" fontId="0" fillId="0" borderId="0" xfId="0" applyBorder="1" applyAlignment="1">
      <alignment horizontal="right"/>
    </xf>
    <xf numFmtId="170" fontId="26" fillId="0" borderId="0" xfId="0" applyNumberFormat="1" applyFont="1" applyBorder="1" applyAlignment="1"/>
    <xf numFmtId="1" fontId="0" fillId="0" borderId="14" xfId="0" applyNumberFormat="1" applyBorder="1"/>
    <xf numFmtId="0" fontId="20" fillId="0" borderId="18" xfId="0" applyFont="1" applyBorder="1" applyAlignment="1">
      <alignment horizontal="center"/>
    </xf>
    <xf numFmtId="0" fontId="0" fillId="0" borderId="18" xfId="0" applyBorder="1"/>
    <xf numFmtId="0" fontId="0" fillId="20" borderId="19" xfId="0" applyFill="1" applyBorder="1"/>
    <xf numFmtId="1" fontId="0" fillId="20" borderId="19" xfId="0" applyNumberFormat="1" applyFill="1" applyBorder="1"/>
    <xf numFmtId="0" fontId="0" fillId="0" borderId="0" xfId="0" applyFill="1" applyBorder="1"/>
    <xf numFmtId="0" fontId="20" fillId="0" borderId="0" xfId="0" applyFont="1" applyFill="1" applyBorder="1" applyAlignment="1">
      <alignment horizontal="center" vertical="center"/>
    </xf>
    <xf numFmtId="0" fontId="0" fillId="0" borderId="0" xfId="0" applyAlignment="1">
      <alignment wrapText="1"/>
    </xf>
    <xf numFmtId="0" fontId="21" fillId="0" borderId="0" xfId="0" applyFont="1" applyFill="1" applyBorder="1" applyAlignment="1">
      <alignment horizontal="left" vertical="center"/>
    </xf>
    <xf numFmtId="0" fontId="21" fillId="0" borderId="0" xfId="0" applyFont="1" applyFill="1" applyBorder="1" applyAlignment="1">
      <alignment vertical="center"/>
    </xf>
    <xf numFmtId="49" fontId="21" fillId="0" borderId="0" xfId="0" applyNumberFormat="1" applyFont="1" applyFill="1" applyBorder="1" applyAlignment="1">
      <alignment vertical="center"/>
    </xf>
    <xf numFmtId="0" fontId="0" fillId="0" borderId="0" xfId="0" applyFill="1" applyBorder="1" applyAlignment="1">
      <alignment horizontal="right"/>
    </xf>
    <xf numFmtId="170" fontId="26" fillId="0" borderId="0" xfId="0" applyNumberFormat="1" applyFont="1" applyFill="1" applyBorder="1" applyAlignment="1"/>
    <xf numFmtId="1" fontId="0" fillId="0" borderId="0" xfId="0" applyNumberFormat="1" applyFill="1" applyBorder="1"/>
    <xf numFmtId="0" fontId="20" fillId="0" borderId="0" xfId="0" applyFont="1" applyFill="1" applyBorder="1" applyAlignment="1">
      <alignment horizontal="center"/>
    </xf>
    <xf numFmtId="0" fontId="0" fillId="25" borderId="0" xfId="0" applyFill="1" applyAlignment="1">
      <alignment horizontal="center"/>
    </xf>
    <xf numFmtId="0" fontId="20" fillId="0" borderId="0" xfId="0" applyFont="1" applyAlignment="1">
      <alignment horizontal="center"/>
    </xf>
    <xf numFmtId="0" fontId="0" fillId="0" borderId="0" xfId="0" applyAlignment="1">
      <alignment horizontal="right"/>
    </xf>
    <xf numFmtId="0" fontId="26" fillId="0" borderId="0" xfId="0" applyFont="1"/>
    <xf numFmtId="0" fontId="35" fillId="0" borderId="0" xfId="0" applyFont="1"/>
    <xf numFmtId="0" fontId="26" fillId="0" borderId="0" xfId="0" applyFont="1" applyAlignment="1">
      <alignment horizontal="center" wrapText="1"/>
    </xf>
    <xf numFmtId="0" fontId="21" fillId="6" borderId="0" xfId="0" applyFont="1" applyFill="1" applyBorder="1" applyAlignment="1">
      <alignment vertical="center"/>
    </xf>
    <xf numFmtId="0" fontId="23" fillId="6" borderId="0" xfId="0" applyFont="1" applyFill="1" applyBorder="1" applyAlignment="1"/>
    <xf numFmtId="0" fontId="29" fillId="0" borderId="0" xfId="0" applyFont="1" applyBorder="1" applyAlignment="1">
      <alignment vertical="center" wrapText="1"/>
    </xf>
    <xf numFmtId="170" fontId="0" fillId="0" borderId="0" xfId="0" applyNumberFormat="1"/>
    <xf numFmtId="0" fontId="0" fillId="0" borderId="0" xfId="0" applyFont="1" applyFill="1" applyBorder="1" applyAlignment="1">
      <alignment horizontal="center" vertical="center"/>
    </xf>
    <xf numFmtId="175" fontId="0" fillId="0" borderId="0" xfId="0" applyNumberFormat="1"/>
    <xf numFmtId="0" fontId="36" fillId="25" borderId="0" xfId="44" applyFill="1" applyAlignment="1">
      <alignment horizontal="center"/>
    </xf>
    <xf numFmtId="9" fontId="26" fillId="0" borderId="0" xfId="33" applyFont="1"/>
    <xf numFmtId="0" fontId="26" fillId="0" borderId="0" xfId="0" applyFont="1" applyAlignment="1">
      <alignment horizontal="center"/>
    </xf>
    <xf numFmtId="0" fontId="37" fillId="0" borderId="0" xfId="0" applyFont="1" applyAlignment="1">
      <alignment horizontal="center" vertical="center"/>
    </xf>
    <xf numFmtId="0" fontId="0" fillId="30" borderId="0" xfId="0" applyFill="1" applyAlignment="1">
      <alignment horizontal="center"/>
    </xf>
    <xf numFmtId="0" fontId="0" fillId="31" borderId="0" xfId="0" applyFill="1" applyAlignment="1">
      <alignment horizontal="center"/>
    </xf>
    <xf numFmtId="0" fontId="0" fillId="31" borderId="0" xfId="0" applyFill="1"/>
    <xf numFmtId="176" fontId="0" fillId="0" borderId="0" xfId="0" applyNumberFormat="1"/>
    <xf numFmtId="0" fontId="35" fillId="0" borderId="0" xfId="0" applyFont="1" applyFill="1"/>
    <xf numFmtId="0" fontId="0" fillId="0" borderId="0" xfId="0" applyFill="1" applyAlignment="1">
      <alignment horizontal="center" vertical="center"/>
    </xf>
    <xf numFmtId="0" fontId="0" fillId="0" borderId="0" xfId="0" applyAlignment="1">
      <alignment vertical="center"/>
    </xf>
    <xf numFmtId="175" fontId="26" fillId="0" borderId="0" xfId="0" applyNumberFormat="1" applyFont="1" applyAlignment="1">
      <alignment horizontal="center" vertical="center" wrapText="1"/>
    </xf>
    <xf numFmtId="0" fontId="0" fillId="31" borderId="0" xfId="0" applyFill="1" applyAlignment="1">
      <alignment vertical="center"/>
    </xf>
    <xf numFmtId="177" fontId="26" fillId="0" borderId="0" xfId="0" applyNumberFormat="1" applyFont="1" applyAlignment="1">
      <alignment horizontal="center"/>
    </xf>
    <xf numFmtId="0" fontId="26" fillId="32" borderId="0" xfId="0" applyFont="1" applyFill="1" applyAlignment="1">
      <alignment horizontal="center" wrapText="1"/>
    </xf>
    <xf numFmtId="0" fontId="0" fillId="32" borderId="0" xfId="0" applyFill="1" applyAlignment="1">
      <alignment horizontal="center" vertical="center"/>
    </xf>
    <xf numFmtId="0" fontId="0" fillId="28" borderId="0" xfId="0" applyFill="1" applyAlignment="1">
      <alignment horizontal="center" vertical="center" wrapText="1"/>
    </xf>
    <xf numFmtId="0" fontId="39" fillId="0" borderId="0" xfId="0" applyFont="1" applyAlignment="1">
      <alignment horizontal="center"/>
    </xf>
    <xf numFmtId="0" fontId="36" fillId="33" borderId="0" xfId="44" applyFill="1" applyAlignment="1">
      <alignment horizontal="center"/>
    </xf>
    <xf numFmtId="0" fontId="23" fillId="0" borderId="0" xfId="0" applyFont="1" applyAlignment="1">
      <alignment horizontal="center"/>
    </xf>
    <xf numFmtId="0" fontId="23" fillId="0" borderId="0" xfId="0" applyFont="1" applyFill="1" applyAlignment="1">
      <alignment horizontal="center"/>
    </xf>
    <xf numFmtId="2" fontId="26" fillId="0" borderId="0" xfId="0" applyNumberFormat="1" applyFont="1" applyAlignment="1">
      <alignment horizontal="center"/>
    </xf>
    <xf numFmtId="0" fontId="0" fillId="0" borderId="0" xfId="0" applyFont="1" applyAlignment="1">
      <alignment horizontal="left"/>
    </xf>
    <xf numFmtId="0" fontId="0" fillId="0" borderId="0" xfId="0" quotePrefix="1"/>
    <xf numFmtId="175" fontId="40" fillId="0" borderId="0" xfId="0" applyNumberFormat="1" applyFont="1"/>
    <xf numFmtId="175" fontId="40" fillId="0" borderId="0" xfId="0" applyNumberFormat="1" applyFont="1" applyFill="1" applyAlignment="1"/>
    <xf numFmtId="0" fontId="0" fillId="0" borderId="0" xfId="0" applyFont="1" applyAlignment="1">
      <alignment horizontal="center" vertical="center" wrapText="1"/>
    </xf>
    <xf numFmtId="0" fontId="26" fillId="0" borderId="0" xfId="0" applyFont="1" applyProtection="1">
      <protection locked="0"/>
    </xf>
    <xf numFmtId="0" fontId="0" fillId="0" borderId="0" xfId="0" applyProtection="1">
      <protection locked="0"/>
    </xf>
    <xf numFmtId="0" fontId="20" fillId="26" borderId="0" xfId="0" applyFont="1" applyFill="1" applyProtection="1">
      <protection locked="0"/>
    </xf>
    <xf numFmtId="0" fontId="36" fillId="27" borderId="0" xfId="44" applyFill="1" applyAlignment="1" applyProtection="1">
      <alignment horizontal="center"/>
      <protection locked="0"/>
    </xf>
    <xf numFmtId="0" fontId="36" fillId="36" borderId="0" xfId="44" applyFill="1" applyAlignment="1">
      <alignment horizontal="center"/>
    </xf>
    <xf numFmtId="178" fontId="0" fillId="0" borderId="0" xfId="0" applyNumberFormat="1" applyFont="1"/>
    <xf numFmtId="0" fontId="0" fillId="0" borderId="0" xfId="0" applyFont="1" applyFill="1" applyAlignment="1">
      <alignment horizontal="right"/>
    </xf>
    <xf numFmtId="0" fontId="42" fillId="0" borderId="0" xfId="0" applyFont="1"/>
    <xf numFmtId="0" fontId="0" fillId="0" borderId="20" xfId="0" applyBorder="1" applyAlignment="1">
      <alignment horizontal="center"/>
    </xf>
    <xf numFmtId="2" fontId="26" fillId="37" borderId="20" xfId="0" applyNumberFormat="1" applyFont="1" applyFill="1" applyBorder="1" applyAlignment="1" applyProtection="1">
      <alignment horizontal="center"/>
      <protection locked="0"/>
    </xf>
    <xf numFmtId="0" fontId="26" fillId="37" borderId="20" xfId="0" applyFont="1" applyFill="1" applyBorder="1" applyAlignment="1" applyProtection="1">
      <alignment horizontal="center"/>
      <protection locked="0"/>
    </xf>
    <xf numFmtId="0" fontId="41" fillId="25" borderId="0" xfId="44" applyFont="1" applyFill="1" applyAlignment="1">
      <alignment horizontal="center"/>
    </xf>
    <xf numFmtId="10" fontId="26" fillId="0" borderId="0" xfId="33" applyNumberFormat="1" applyFont="1"/>
    <xf numFmtId="167" fontId="43" fillId="32" borderId="0" xfId="0" applyNumberFormat="1" applyFont="1" applyFill="1" applyAlignment="1">
      <alignment horizontal="center"/>
    </xf>
    <xf numFmtId="0" fontId="36" fillId="0" borderId="0" xfId="44"/>
    <xf numFmtId="0" fontId="44" fillId="0" borderId="0" xfId="0" applyFont="1"/>
    <xf numFmtId="0" fontId="0" fillId="0" borderId="0" xfId="0" applyProtection="1"/>
    <xf numFmtId="168" fontId="0" fillId="0" borderId="0" xfId="0" applyNumberFormat="1" applyProtection="1">
      <protection locked="0"/>
    </xf>
    <xf numFmtId="169" fontId="24" fillId="0" borderId="0" xfId="0" applyNumberFormat="1" applyFont="1" applyProtection="1">
      <protection locked="0"/>
    </xf>
    <xf numFmtId="170" fontId="25" fillId="0" borderId="0" xfId="0" applyNumberFormat="1" applyFont="1" applyProtection="1">
      <protection locked="0"/>
    </xf>
    <xf numFmtId="0" fontId="0" fillId="0" borderId="0" xfId="0" applyFont="1" applyProtection="1">
      <protection locked="0"/>
    </xf>
    <xf numFmtId="9" fontId="26" fillId="0" borderId="0" xfId="33" applyFont="1" applyProtection="1">
      <protection locked="0"/>
    </xf>
    <xf numFmtId="0" fontId="29" fillId="0" borderId="0" xfId="0" applyFont="1" applyBorder="1" applyAlignment="1">
      <alignment vertical="center" wrapText="1"/>
    </xf>
    <xf numFmtId="0" fontId="45" fillId="0" borderId="0" xfId="0" applyFont="1" applyAlignment="1">
      <alignment vertical="center"/>
    </xf>
    <xf numFmtId="0" fontId="21" fillId="0" borderId="0" xfId="0" applyFont="1" applyAlignment="1">
      <alignment horizontal="center" vertical="center"/>
    </xf>
    <xf numFmtId="168" fontId="0" fillId="0" borderId="0" xfId="0" applyNumberFormat="1" applyAlignment="1">
      <alignment vertical="center"/>
    </xf>
    <xf numFmtId="169" fontId="24" fillId="0" borderId="0" xfId="0" applyNumberFormat="1" applyFont="1" applyAlignment="1">
      <alignment vertical="center"/>
    </xf>
    <xf numFmtId="175" fontId="40" fillId="0" borderId="0" xfId="0" applyNumberFormat="1" applyFont="1" applyAlignment="1">
      <alignment vertical="center"/>
    </xf>
    <xf numFmtId="0" fontId="0" fillId="0" borderId="0" xfId="0" applyAlignment="1">
      <alignment vertical="center" wrapText="1"/>
    </xf>
    <xf numFmtId="0" fontId="26" fillId="0" borderId="0" xfId="0" applyFont="1" applyAlignment="1">
      <alignment vertical="center"/>
    </xf>
    <xf numFmtId="9" fontId="26" fillId="0" borderId="0" xfId="33" applyFont="1" applyAlignment="1">
      <alignment vertical="center"/>
    </xf>
    <xf numFmtId="178" fontId="26" fillId="0" borderId="0" xfId="0" applyNumberFormat="1" applyFont="1"/>
    <xf numFmtId="0" fontId="26" fillId="24" borderId="0" xfId="0" applyFont="1" applyFill="1" applyBorder="1" applyAlignment="1">
      <alignment horizontal="left" vertical="center"/>
    </xf>
    <xf numFmtId="0" fontId="43" fillId="0" borderId="0" xfId="0" applyFont="1" applyAlignment="1">
      <alignment horizontal="center" vertical="center"/>
    </xf>
    <xf numFmtId="0" fontId="0" fillId="11" borderId="0" xfId="0" applyFont="1" applyFill="1" applyBorder="1" applyAlignment="1">
      <alignment horizontal="center" vertical="center"/>
    </xf>
    <xf numFmtId="0" fontId="26" fillId="0" borderId="20" xfId="0" applyFont="1" applyBorder="1" applyAlignment="1">
      <alignment horizontal="center"/>
    </xf>
    <xf numFmtId="168" fontId="26" fillId="0" borderId="20" xfId="0" applyNumberFormat="1" applyFont="1" applyBorder="1"/>
    <xf numFmtId="2" fontId="37" fillId="0" borderId="20" xfId="0" applyNumberFormat="1" applyFont="1" applyBorder="1"/>
    <xf numFmtId="1" fontId="37" fillId="0" borderId="20" xfId="0" applyNumberFormat="1" applyFont="1" applyBorder="1"/>
    <xf numFmtId="0" fontId="26" fillId="0" borderId="20" xfId="0" applyNumberFormat="1" applyFont="1" applyBorder="1"/>
    <xf numFmtId="0" fontId="0" fillId="25" borderId="0" xfId="0" applyFill="1"/>
    <xf numFmtId="175" fontId="37" fillId="0" borderId="0" xfId="0" applyNumberFormat="1" applyFont="1"/>
    <xf numFmtId="0" fontId="20" fillId="25" borderId="0" xfId="0" applyFont="1" applyFill="1" applyAlignment="1">
      <alignment horizontal="center" vertical="center" wrapText="1"/>
    </xf>
    <xf numFmtId="170" fontId="24" fillId="0" borderId="0" xfId="0" applyNumberFormat="1" applyFont="1" applyAlignment="1">
      <alignment horizontal="center" vertical="center"/>
    </xf>
    <xf numFmtId="0" fontId="0" fillId="0" borderId="0" xfId="0" applyAlignment="1">
      <alignment vertical="top" wrapText="1"/>
    </xf>
    <xf numFmtId="16" fontId="0" fillId="0" borderId="0" xfId="0" applyNumberFormat="1" applyAlignment="1">
      <alignment vertical="center"/>
    </xf>
    <xf numFmtId="14" fontId="0" fillId="0" borderId="0" xfId="0" applyNumberFormat="1"/>
    <xf numFmtId="3" fontId="26" fillId="0" borderId="0" xfId="0" applyNumberFormat="1" applyFont="1"/>
    <xf numFmtId="0" fontId="0" fillId="29" borderId="0" xfId="0" applyFill="1" applyAlignment="1">
      <alignment horizontal="center"/>
    </xf>
    <xf numFmtId="0" fontId="21" fillId="6" borderId="0" xfId="0" applyFont="1" applyFill="1" applyBorder="1" applyAlignment="1">
      <alignment vertical="center"/>
    </xf>
    <xf numFmtId="0" fontId="23" fillId="6" borderId="0" xfId="0" applyFont="1" applyFill="1" applyBorder="1" applyAlignment="1"/>
    <xf numFmtId="1" fontId="24" fillId="0" borderId="0" xfId="0" applyNumberFormat="1" applyFont="1"/>
    <xf numFmtId="14" fontId="0" fillId="0" borderId="0" xfId="0" applyNumberFormat="1" applyProtection="1">
      <protection locked="0"/>
    </xf>
    <xf numFmtId="1" fontId="39" fillId="0" borderId="14" xfId="0" applyNumberFormat="1" applyFont="1" applyBorder="1"/>
    <xf numFmtId="0" fontId="24" fillId="0" borderId="0" xfId="0" applyFont="1" applyAlignment="1">
      <alignment horizontal="center"/>
    </xf>
    <xf numFmtId="0" fontId="26" fillId="41" borderId="20" xfId="0" applyNumberFormat="1" applyFont="1" applyFill="1" applyBorder="1"/>
    <xf numFmtId="0" fontId="24" fillId="0" borderId="0" xfId="0" applyFont="1" applyAlignment="1">
      <alignment horizontal="center" vertical="center"/>
    </xf>
    <xf numFmtId="0" fontId="0" fillId="25" borderId="0" xfId="0" applyFill="1" applyAlignment="1">
      <alignment horizontal="center" vertical="center"/>
    </xf>
    <xf numFmtId="0" fontId="26" fillId="0" borderId="0" xfId="0" applyFont="1" applyAlignment="1">
      <alignment horizontal="center" vertical="center" wrapText="1"/>
    </xf>
    <xf numFmtId="175" fontId="0" fillId="0" borderId="0" xfId="0" applyNumberFormat="1" applyAlignment="1">
      <alignment horizontal="center" vertical="center"/>
    </xf>
    <xf numFmtId="0" fontId="20" fillId="0" borderId="0" xfId="0" applyFont="1" applyAlignment="1">
      <alignment horizontal="right"/>
    </xf>
    <xf numFmtId="0" fontId="20" fillId="42" borderId="0" xfId="0" applyFont="1" applyFill="1" applyAlignment="1">
      <alignment horizontal="center" vertical="center" wrapText="1"/>
    </xf>
    <xf numFmtId="0" fontId="32" fillId="0" borderId="0" xfId="0" applyFont="1" applyAlignment="1">
      <alignment horizontal="center" vertical="center"/>
    </xf>
    <xf numFmtId="0" fontId="35" fillId="42" borderId="0" xfId="0" applyFont="1" applyFill="1" applyAlignment="1">
      <alignment horizontal="center"/>
    </xf>
    <xf numFmtId="0" fontId="0" fillId="25" borderId="0" xfId="0" applyFill="1" applyAlignment="1" applyProtection="1">
      <alignment horizontal="center"/>
    </xf>
    <xf numFmtId="0" fontId="48" fillId="0" borderId="0" xfId="0" applyFont="1" applyAlignment="1">
      <alignment horizontal="center" vertical="center"/>
    </xf>
    <xf numFmtId="0" fontId="49" fillId="0" borderId="0" xfId="0" applyFont="1" applyBorder="1" applyAlignment="1">
      <alignment vertical="center" wrapText="1"/>
    </xf>
    <xf numFmtId="0" fontId="38" fillId="0" borderId="0" xfId="0" applyFont="1" applyAlignment="1">
      <alignment vertical="center"/>
    </xf>
    <xf numFmtId="0" fontId="0" fillId="43" borderId="0" xfId="0" applyFill="1" applyAlignment="1">
      <alignment horizontal="center" vertical="center"/>
    </xf>
    <xf numFmtId="178" fontId="0" fillId="0" borderId="0" xfId="0" applyNumberFormat="1" applyFont="1" applyAlignment="1">
      <alignment horizontal="right"/>
    </xf>
    <xf numFmtId="0" fontId="0" fillId="44" borderId="0" xfId="0" applyFont="1" applyFill="1" applyBorder="1" applyAlignment="1" applyProtection="1">
      <protection locked="0"/>
    </xf>
    <xf numFmtId="0" fontId="0" fillId="38" borderId="0" xfId="0" applyFont="1" applyFill="1" applyBorder="1" applyAlignment="1" applyProtection="1">
      <alignment horizontal="center"/>
    </xf>
    <xf numFmtId="0" fontId="23" fillId="44" borderId="0" xfId="0" applyFont="1" applyFill="1" applyBorder="1" applyAlignment="1" applyProtection="1">
      <protection locked="0"/>
    </xf>
    <xf numFmtId="0" fontId="23" fillId="38" borderId="0" xfId="0" applyFont="1" applyFill="1" applyBorder="1" applyAlignment="1" applyProtection="1">
      <protection locked="0"/>
    </xf>
    <xf numFmtId="0" fontId="22" fillId="38" borderId="0" xfId="0" applyFont="1" applyFill="1" applyBorder="1" applyAlignment="1" applyProtection="1">
      <alignment horizontal="left" vertical="center"/>
      <protection locked="0"/>
    </xf>
    <xf numFmtId="0" fontId="22" fillId="38" borderId="0" xfId="0" applyFont="1" applyFill="1" applyBorder="1" applyAlignment="1" applyProtection="1">
      <alignment horizontal="center" vertical="center"/>
      <protection locked="0"/>
    </xf>
    <xf numFmtId="175" fontId="22" fillId="38" borderId="0" xfId="0" applyNumberFormat="1" applyFont="1" applyFill="1" applyBorder="1" applyAlignment="1" applyProtection="1">
      <alignment horizontal="center" vertical="center"/>
      <protection locked="0"/>
    </xf>
    <xf numFmtId="0" fontId="38" fillId="38" borderId="0" xfId="0" applyFont="1" applyFill="1" applyBorder="1" applyAlignment="1" applyProtection="1">
      <alignment horizontal="center" vertical="center"/>
      <protection locked="0"/>
    </xf>
    <xf numFmtId="0" fontId="0" fillId="38" borderId="0" xfId="0" applyFill="1" applyProtection="1">
      <protection locked="0"/>
    </xf>
    <xf numFmtId="0" fontId="26" fillId="38" borderId="0" xfId="0" applyFont="1" applyFill="1" applyAlignment="1" applyProtection="1">
      <alignment horizontal="center"/>
    </xf>
    <xf numFmtId="0" fontId="0" fillId="38" borderId="0" xfId="0" applyFill="1" applyAlignment="1" applyProtection="1">
      <alignment horizontal="center"/>
    </xf>
    <xf numFmtId="0" fontId="0" fillId="38" borderId="0" xfId="0" applyFill="1" applyProtection="1"/>
    <xf numFmtId="0" fontId="0" fillId="38" borderId="0" xfId="0" applyFill="1" applyBorder="1" applyProtection="1">
      <protection locked="0"/>
    </xf>
    <xf numFmtId="0" fontId="0" fillId="38" borderId="0" xfId="0" applyFill="1" applyBorder="1" applyAlignment="1" applyProtection="1">
      <alignment horizontal="center"/>
    </xf>
    <xf numFmtId="0" fontId="0" fillId="0" borderId="0" xfId="0" applyFill="1" applyProtection="1"/>
    <xf numFmtId="0" fontId="50" fillId="0" borderId="0" xfId="0" applyFont="1"/>
    <xf numFmtId="167" fontId="0" fillId="0" borderId="0" xfId="0" applyNumberFormat="1" applyFont="1" applyAlignment="1">
      <alignment horizontal="right"/>
    </xf>
    <xf numFmtId="167" fontId="0" fillId="0" borderId="0" xfId="0" applyNumberFormat="1" applyFont="1" applyAlignment="1">
      <alignment horizontal="right" vertical="center"/>
    </xf>
    <xf numFmtId="170" fontId="37" fillId="0" borderId="0" xfId="0" applyNumberFormat="1" applyFont="1"/>
    <xf numFmtId="0" fontId="26" fillId="40" borderId="0" xfId="0" applyFont="1" applyFill="1" applyBorder="1" applyAlignment="1">
      <alignment horizontal="left" vertical="center"/>
    </xf>
    <xf numFmtId="0" fontId="0" fillId="41" borderId="0" xfId="0" applyFill="1"/>
    <xf numFmtId="0" fontId="0" fillId="25" borderId="0" xfId="0" applyFill="1" applyAlignment="1">
      <alignment horizontal="center" vertical="center" wrapText="1"/>
    </xf>
    <xf numFmtId="0" fontId="37" fillId="0" borderId="0" xfId="0" applyFont="1" applyAlignment="1">
      <alignment horizontal="left" vertical="center" wrapText="1"/>
    </xf>
    <xf numFmtId="0" fontId="0" fillId="30" borderId="0" xfId="0" applyFill="1"/>
    <xf numFmtId="180" fontId="26" fillId="0" borderId="0" xfId="0" applyNumberFormat="1" applyFont="1"/>
    <xf numFmtId="169" fontId="37" fillId="32" borderId="0" xfId="0" applyNumberFormat="1" applyFont="1" applyFill="1" applyProtection="1">
      <protection locked="0"/>
    </xf>
    <xf numFmtId="0" fontId="21" fillId="0" borderId="0" xfId="0" applyFont="1" applyAlignment="1">
      <alignment horizontal="right" vertical="center"/>
    </xf>
    <xf numFmtId="175" fontId="37" fillId="45" borderId="0" xfId="0" applyNumberFormat="1" applyFont="1" applyFill="1"/>
    <xf numFmtId="0" fontId="0" fillId="0" borderId="0" xfId="0" applyAlignment="1">
      <alignment horizontal="center"/>
    </xf>
    <xf numFmtId="169" fontId="37" fillId="45" borderId="0" xfId="0" applyNumberFormat="1" applyFont="1" applyFill="1" applyProtection="1">
      <protection locked="0"/>
    </xf>
    <xf numFmtId="0" fontId="0" fillId="0" borderId="0" xfId="0" applyAlignment="1">
      <alignment vertical="center"/>
    </xf>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22" xfId="0" applyBorder="1"/>
    <xf numFmtId="0" fontId="0" fillId="0" borderId="23" xfId="0" applyBorder="1"/>
    <xf numFmtId="175" fontId="26" fillId="0" borderId="22" xfId="0" applyNumberFormat="1" applyFont="1" applyBorder="1"/>
    <xf numFmtId="0" fontId="0" fillId="28" borderId="21" xfId="0" applyFill="1" applyBorder="1"/>
    <xf numFmtId="0" fontId="0" fillId="0" borderId="30" xfId="0" applyBorder="1" applyAlignment="1">
      <alignment horizontal="center"/>
    </xf>
    <xf numFmtId="0" fontId="0" fillId="0" borderId="29" xfId="0" applyBorder="1" applyAlignment="1">
      <alignment horizontal="center"/>
    </xf>
    <xf numFmtId="0" fontId="20" fillId="0" borderId="24" xfId="0" applyFont="1" applyBorder="1"/>
    <xf numFmtId="0" fontId="20" fillId="0" borderId="29" xfId="0" applyFont="1" applyBorder="1"/>
    <xf numFmtId="0" fontId="20" fillId="0" borderId="30" xfId="0" applyFont="1" applyBorder="1"/>
    <xf numFmtId="0" fontId="20" fillId="0" borderId="24" xfId="0" applyFont="1" applyBorder="1" applyAlignment="1">
      <alignment horizontal="center"/>
    </xf>
    <xf numFmtId="0" fontId="20" fillId="0" borderId="29" xfId="0" applyFont="1" applyBorder="1" applyAlignment="1">
      <alignment horizontal="center"/>
    </xf>
    <xf numFmtId="0" fontId="20" fillId="0" borderId="25" xfId="0" applyFont="1" applyBorder="1" applyAlignment="1">
      <alignment horizontal="center"/>
    </xf>
    <xf numFmtId="0" fontId="20" fillId="0" borderId="30" xfId="0" applyFont="1" applyBorder="1" applyAlignment="1">
      <alignment horizontal="center"/>
    </xf>
    <xf numFmtId="0" fontId="20" fillId="0" borderId="27" xfId="0" applyFont="1" applyBorder="1"/>
    <xf numFmtId="0" fontId="25" fillId="0" borderId="27" xfId="0" applyFont="1" applyBorder="1"/>
    <xf numFmtId="0" fontId="25" fillId="0" borderId="29" xfId="0" applyFont="1" applyBorder="1"/>
    <xf numFmtId="0" fontId="25" fillId="0" borderId="25" xfId="0" applyFont="1" applyBorder="1"/>
    <xf numFmtId="0" fontId="53" fillId="0" borderId="25" xfId="0" applyFont="1" applyBorder="1"/>
    <xf numFmtId="175" fontId="26" fillId="0" borderId="26" xfId="0" applyNumberFormat="1" applyFont="1" applyBorder="1"/>
    <xf numFmtId="0" fontId="50" fillId="0" borderId="0" xfId="0" applyFont="1" applyBorder="1"/>
    <xf numFmtId="0" fontId="37" fillId="0" borderId="0" xfId="0" applyFont="1" applyBorder="1"/>
    <xf numFmtId="0" fontId="20" fillId="0" borderId="0" xfId="0" applyFont="1" applyBorder="1"/>
    <xf numFmtId="0" fontId="53" fillId="28" borderId="24" xfId="0" applyFont="1" applyFill="1" applyBorder="1"/>
    <xf numFmtId="0" fontId="54" fillId="0" borderId="25" xfId="0" applyFont="1" applyBorder="1"/>
    <xf numFmtId="0" fontId="24" fillId="0" borderId="0" xfId="0" applyFont="1" applyBorder="1" applyAlignment="1">
      <alignment horizontal="right"/>
    </xf>
    <xf numFmtId="0" fontId="24" fillId="0" borderId="30" xfId="0" applyFont="1" applyBorder="1" applyAlignment="1">
      <alignment horizontal="right"/>
    </xf>
    <xf numFmtId="0" fontId="24" fillId="0" borderId="25" xfId="0" applyFont="1" applyBorder="1"/>
    <xf numFmtId="0" fontId="24" fillId="0" borderId="30" xfId="0" applyFont="1" applyBorder="1"/>
    <xf numFmtId="0" fontId="24" fillId="0" borderId="26" xfId="0" applyFont="1" applyBorder="1" applyAlignment="1">
      <alignment horizontal="center"/>
    </xf>
    <xf numFmtId="14" fontId="26" fillId="38" borderId="0" xfId="0" applyNumberFormat="1" applyFont="1" applyFill="1" applyAlignment="1" applyProtection="1">
      <alignment horizontal="center"/>
    </xf>
    <xf numFmtId="0" fontId="50" fillId="0" borderId="0" xfId="0" applyFont="1" applyAlignment="1">
      <alignment horizontal="center" vertical="center"/>
    </xf>
    <xf numFmtId="0" fontId="55" fillId="0" borderId="0" xfId="0" applyFont="1" applyAlignment="1">
      <alignment horizontal="center"/>
    </xf>
    <xf numFmtId="0" fontId="0" fillId="0" borderId="0" xfId="0" applyBorder="1" applyAlignment="1">
      <alignment horizontal="center" vertical="center"/>
    </xf>
    <xf numFmtId="0" fontId="20" fillId="0" borderId="35" xfId="0" applyFont="1" applyBorder="1"/>
    <xf numFmtId="0" fontId="0" fillId="0" borderId="36" xfId="0" applyBorder="1"/>
    <xf numFmtId="0" fontId="0" fillId="0" borderId="37" xfId="0" applyBorder="1"/>
    <xf numFmtId="0" fontId="0" fillId="0" borderId="39" xfId="0" applyBorder="1"/>
    <xf numFmtId="0" fontId="0" fillId="0" borderId="41" xfId="0" applyBorder="1"/>
    <xf numFmtId="0" fontId="0" fillId="0" borderId="42" xfId="0" applyBorder="1"/>
    <xf numFmtId="0" fontId="56" fillId="0" borderId="38" xfId="0" applyFont="1" applyBorder="1"/>
    <xf numFmtId="0" fontId="20" fillId="0" borderId="40" xfId="0" applyFont="1" applyBorder="1"/>
    <xf numFmtId="0" fontId="50" fillId="0" borderId="38" xfId="0" applyFont="1" applyBorder="1" applyAlignment="1">
      <alignment horizontal="right"/>
    </xf>
    <xf numFmtId="0" fontId="50" fillId="0" borderId="0" xfId="0" applyFont="1" applyBorder="1" applyAlignment="1">
      <alignment horizontal="right"/>
    </xf>
    <xf numFmtId="0" fontId="20" fillId="0" borderId="0" xfId="0" applyFont="1" applyBorder="1" applyAlignment="1">
      <alignment horizontal="center"/>
    </xf>
    <xf numFmtId="175" fontId="23" fillId="0" borderId="0" xfId="0" applyNumberFormat="1" applyFont="1" applyBorder="1"/>
    <xf numFmtId="0" fontId="25" fillId="0" borderId="41" xfId="0" applyFont="1" applyBorder="1" applyAlignment="1">
      <alignment horizontal="center"/>
    </xf>
    <xf numFmtId="175" fontId="26" fillId="0" borderId="22" xfId="0" applyNumberFormat="1" applyFont="1" applyBorder="1" applyAlignment="1">
      <alignment horizontal="right"/>
    </xf>
    <xf numFmtId="0" fontId="26" fillId="0" borderId="0" xfId="0" applyFont="1" applyAlignment="1">
      <alignment vertical="center" textRotation="90" wrapText="1"/>
    </xf>
    <xf numFmtId="0" fontId="25" fillId="0" borderId="0" xfId="0" applyFont="1" applyFill="1" applyBorder="1"/>
    <xf numFmtId="0" fontId="26" fillId="28" borderId="0" xfId="0" applyFont="1" applyFill="1" applyAlignment="1">
      <alignment horizontal="center" vertical="center" textRotation="90" wrapText="1"/>
    </xf>
    <xf numFmtId="0" fontId="20" fillId="39" borderId="0" xfId="0" applyFont="1" applyFill="1"/>
    <xf numFmtId="0" fontId="0" fillId="0" borderId="36" xfId="0" applyBorder="1" applyAlignment="1">
      <alignment horizontal="center"/>
    </xf>
    <xf numFmtId="0" fontId="0" fillId="0" borderId="36" xfId="0" applyFill="1" applyBorder="1" applyAlignment="1">
      <alignment horizontal="center"/>
    </xf>
    <xf numFmtId="0" fontId="0" fillId="0" borderId="41" xfId="0" applyBorder="1" applyAlignment="1">
      <alignment horizontal="center"/>
    </xf>
    <xf numFmtId="0" fontId="0" fillId="0" borderId="41" xfId="0" applyFill="1" applyBorder="1" applyAlignment="1">
      <alignment horizontal="center"/>
    </xf>
    <xf numFmtId="0" fontId="0" fillId="0" borderId="0" xfId="0" applyAlignment="1">
      <alignment horizontal="center"/>
    </xf>
    <xf numFmtId="0" fontId="20" fillId="28" borderId="0" xfId="0" applyFont="1" applyFill="1" applyAlignment="1">
      <alignment horizontal="center" vertical="center" wrapText="1"/>
    </xf>
    <xf numFmtId="0" fontId="0" fillId="48" borderId="0" xfId="0" applyFill="1"/>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horizontal="center"/>
    </xf>
    <xf numFmtId="0" fontId="0" fillId="0" borderId="0" xfId="0" applyFill="1" applyAlignment="1" applyProtection="1">
      <alignment horizontal="center"/>
    </xf>
    <xf numFmtId="0" fontId="0" fillId="0" borderId="0" xfId="0" applyAlignment="1">
      <alignment horizontal="center"/>
    </xf>
    <xf numFmtId="0" fontId="24" fillId="0" borderId="0" xfId="0" applyFont="1" applyBorder="1" applyAlignment="1">
      <alignment horizontal="center"/>
    </xf>
    <xf numFmtId="0" fontId="0" fillId="0" borderId="35" xfId="0" applyBorder="1"/>
    <xf numFmtId="0" fontId="0" fillId="0" borderId="38" xfId="0" applyBorder="1"/>
    <xf numFmtId="0" fontId="0" fillId="0" borderId="40" xfId="0" applyBorder="1"/>
    <xf numFmtId="0" fontId="52" fillId="0" borderId="0" xfId="0" applyFont="1" applyBorder="1" applyAlignment="1">
      <alignment horizontal="center" vertical="center"/>
    </xf>
    <xf numFmtId="0" fontId="0" fillId="47" borderId="0" xfId="0" applyFill="1" applyBorder="1"/>
    <xf numFmtId="0" fontId="0" fillId="0" borderId="38" xfId="0" applyFill="1" applyBorder="1"/>
    <xf numFmtId="0" fontId="0" fillId="47" borderId="41" xfId="0" applyFill="1" applyBorder="1"/>
    <xf numFmtId="0" fontId="53" fillId="28" borderId="20" xfId="0" applyFont="1" applyFill="1" applyBorder="1" applyAlignment="1">
      <alignment horizontal="center"/>
    </xf>
    <xf numFmtId="0" fontId="53" fillId="28" borderId="43" xfId="0" applyFont="1" applyFill="1" applyBorder="1" applyAlignment="1">
      <alignment horizontal="center"/>
    </xf>
    <xf numFmtId="0" fontId="24" fillId="0" borderId="38" xfId="0" applyFont="1" applyFill="1" applyBorder="1" applyAlignment="1">
      <alignment horizontal="center"/>
    </xf>
    <xf numFmtId="0" fontId="0" fillId="0" borderId="40" xfId="0" applyFill="1" applyBorder="1"/>
    <xf numFmtId="0" fontId="50" fillId="0" borderId="35" xfId="0" applyFont="1" applyBorder="1" applyAlignment="1">
      <alignment horizontal="right"/>
    </xf>
    <xf numFmtId="0" fontId="50" fillId="0" borderId="40" xfId="0" applyFont="1" applyBorder="1" applyAlignment="1">
      <alignment horizontal="right"/>
    </xf>
    <xf numFmtId="0" fontId="20" fillId="0" borderId="38" xfId="0" applyFont="1" applyBorder="1" applyAlignment="1">
      <alignment horizontal="center"/>
    </xf>
    <xf numFmtId="0" fontId="20" fillId="0" borderId="38" xfId="0" applyFont="1" applyFill="1" applyBorder="1" applyAlignment="1">
      <alignment horizontal="center"/>
    </xf>
    <xf numFmtId="0" fontId="20" fillId="0" borderId="40" xfId="0" applyFont="1" applyFill="1" applyBorder="1" applyAlignment="1">
      <alignment horizontal="center"/>
    </xf>
    <xf numFmtId="0" fontId="0" fillId="42" borderId="0" xfId="0" applyFill="1" applyAlignment="1">
      <alignment horizontal="center" vertical="center"/>
    </xf>
    <xf numFmtId="0" fontId="0" fillId="0" borderId="0" xfId="0" applyAlignment="1">
      <alignment horizontal="center"/>
    </xf>
    <xf numFmtId="0" fontId="0" fillId="28" borderId="0" xfId="0" applyFill="1" applyAlignment="1">
      <alignment horizontal="center"/>
    </xf>
    <xf numFmtId="0" fontId="0" fillId="0" borderId="0" xfId="0" applyAlignment="1">
      <alignment horizontal="center"/>
    </xf>
    <xf numFmtId="0" fontId="0" fillId="0" borderId="0" xfId="0" applyAlignment="1">
      <alignment vertical="center"/>
    </xf>
    <xf numFmtId="0" fontId="0" fillId="28" borderId="0" xfId="0" applyFill="1" applyAlignment="1">
      <alignment horizontal="center"/>
    </xf>
    <xf numFmtId="0" fontId="0" fillId="0" borderId="0" xfId="0" applyAlignment="1">
      <alignment horizontal="center"/>
    </xf>
    <xf numFmtId="0" fontId="0" fillId="0" borderId="0" xfId="0" applyAlignment="1">
      <alignment vertical="center"/>
    </xf>
    <xf numFmtId="0" fontId="0" fillId="28" borderId="0" xfId="0" applyFill="1" applyAlignment="1">
      <alignment horizontal="center"/>
    </xf>
    <xf numFmtId="0" fontId="0" fillId="0" borderId="0" xfId="0" applyAlignment="1">
      <alignment horizontal="center"/>
    </xf>
    <xf numFmtId="0" fontId="0" fillId="0" borderId="0" xfId="0" applyAlignment="1">
      <alignment vertical="center"/>
    </xf>
    <xf numFmtId="0" fontId="0" fillId="32" borderId="0" xfId="0" applyFill="1" applyAlignment="1">
      <alignment horizontal="center"/>
    </xf>
    <xf numFmtId="0" fontId="0" fillId="0" borderId="0" xfId="0" applyAlignment="1">
      <alignment wrapText="1"/>
    </xf>
    <xf numFmtId="170" fontId="37" fillId="0" borderId="0" xfId="0" applyNumberFormat="1" applyFont="1" applyAlignment="1">
      <alignment wrapText="1"/>
    </xf>
    <xf numFmtId="0" fontId="20" fillId="28" borderId="0" xfId="0" applyFont="1" applyFill="1" applyAlignment="1">
      <alignment horizontal="center" vertical="center"/>
    </xf>
    <xf numFmtId="0" fontId="26" fillId="38" borderId="0" xfId="0" applyFont="1" applyFill="1" applyAlignment="1" applyProtection="1">
      <alignment horizontal="left"/>
    </xf>
    <xf numFmtId="0" fontId="25" fillId="0" borderId="0" xfId="0" applyFont="1" applyBorder="1"/>
    <xf numFmtId="0" fontId="21" fillId="0" borderId="0" xfId="0" applyFont="1" applyAlignment="1">
      <alignment horizontal="right" vertical="center"/>
    </xf>
    <xf numFmtId="0" fontId="0" fillId="25" borderId="0" xfId="0" applyFill="1" applyProtection="1">
      <protection locked="0"/>
    </xf>
    <xf numFmtId="0" fontId="57" fillId="0" borderId="0" xfId="0" applyFont="1" applyBorder="1" applyAlignment="1">
      <alignment vertical="center"/>
    </xf>
    <xf numFmtId="175" fontId="26" fillId="0" borderId="0" xfId="0" applyNumberFormat="1" applyFont="1" applyBorder="1" applyAlignment="1"/>
    <xf numFmtId="175" fontId="50" fillId="0" borderId="0" xfId="0" applyNumberFormat="1" applyFont="1"/>
    <xf numFmtId="0" fontId="20" fillId="39" borderId="0" xfId="0" applyFont="1" applyFill="1" applyAlignment="1">
      <alignment horizontal="center"/>
    </xf>
    <xf numFmtId="0" fontId="0" fillId="39" borderId="0" xfId="0" applyFill="1" applyAlignment="1">
      <alignment horizontal="center"/>
    </xf>
    <xf numFmtId="0" fontId="20" fillId="0" borderId="0" xfId="0" applyFont="1" applyFill="1" applyAlignment="1">
      <alignment horizontal="center"/>
    </xf>
    <xf numFmtId="0" fontId="0" fillId="0" borderId="0" xfId="0" applyBorder="1" applyAlignment="1">
      <alignment horizontal="left"/>
    </xf>
    <xf numFmtId="0" fontId="23" fillId="0" borderId="0" xfId="0" applyFont="1" applyFill="1" applyBorder="1"/>
    <xf numFmtId="0" fontId="0" fillId="0" borderId="0" xfId="0" applyAlignment="1">
      <alignment wrapText="1"/>
    </xf>
    <xf numFmtId="0" fontId="0" fillId="51" borderId="0" xfId="0" applyFill="1" applyAlignment="1">
      <alignment horizontal="center"/>
    </xf>
    <xf numFmtId="0" fontId="25" fillId="50" borderId="0" xfId="0" applyFont="1" applyFill="1" applyAlignment="1">
      <alignment horizontal="center"/>
    </xf>
    <xf numFmtId="0" fontId="56" fillId="50" borderId="0" xfId="0" applyFont="1" applyFill="1" applyAlignment="1">
      <alignment horizontal="center"/>
    </xf>
    <xf numFmtId="0" fontId="20" fillId="52" borderId="0" xfId="0" applyFont="1" applyFill="1" applyBorder="1" applyAlignment="1">
      <alignment horizontal="center"/>
    </xf>
    <xf numFmtId="0" fontId="0" fillId="0" borderId="0" xfId="0" applyFill="1" applyBorder="1" applyAlignment="1">
      <alignment horizontal="center"/>
    </xf>
    <xf numFmtId="0" fontId="21" fillId="0" borderId="0" xfId="0" applyFont="1" applyAlignment="1">
      <alignment horizontal="right" vertical="center"/>
    </xf>
    <xf numFmtId="0" fontId="0" fillId="0" borderId="36" xfId="0" applyFill="1" applyBorder="1"/>
    <xf numFmtId="0" fontId="20" fillId="0" borderId="36" xfId="0" applyFont="1" applyBorder="1" applyAlignment="1">
      <alignment horizontal="center"/>
    </xf>
    <xf numFmtId="181" fontId="0" fillId="0" borderId="0" xfId="0" applyNumberFormat="1"/>
    <xf numFmtId="181" fontId="0" fillId="0" borderId="0" xfId="0" applyNumberFormat="1" applyAlignment="1">
      <alignment vertical="center"/>
    </xf>
    <xf numFmtId="0" fontId="25" fillId="0" borderId="36" xfId="0" applyFont="1" applyBorder="1"/>
    <xf numFmtId="0" fontId="25" fillId="0" borderId="41" xfId="0" applyFont="1" applyBorder="1"/>
    <xf numFmtId="0" fontId="23" fillId="0" borderId="37" xfId="0" applyFont="1" applyBorder="1" applyAlignment="1">
      <alignment horizontal="left"/>
    </xf>
    <xf numFmtId="0" fontId="50" fillId="0" borderId="36" xfId="0" applyFont="1" applyBorder="1" applyAlignment="1">
      <alignment horizontal="left"/>
    </xf>
    <xf numFmtId="0" fontId="20" fillId="0" borderId="36" xfId="0" applyFont="1" applyBorder="1" applyAlignment="1">
      <alignment horizontal="right"/>
    </xf>
    <xf numFmtId="3" fontId="23" fillId="0" borderId="0" xfId="0" applyNumberFormat="1" applyFont="1" applyFill="1" applyBorder="1" applyAlignment="1">
      <alignment horizontal="center"/>
    </xf>
    <xf numFmtId="0" fontId="0" fillId="50" borderId="0" xfId="0" applyFont="1" applyFill="1" applyAlignment="1">
      <alignment horizontal="center"/>
    </xf>
    <xf numFmtId="169" fontId="24" fillId="50" borderId="0" xfId="0" applyNumberFormat="1" applyFont="1" applyFill="1"/>
    <xf numFmtId="0" fontId="0" fillId="50" borderId="0" xfId="0" applyFill="1"/>
    <xf numFmtId="0" fontId="0" fillId="0" borderId="0" xfId="0" applyAlignment="1">
      <alignment vertical="top" textRotation="90"/>
    </xf>
    <xf numFmtId="0" fontId="23" fillId="50" borderId="0" xfId="0" applyFont="1" applyFill="1" applyAlignment="1">
      <alignment horizontal="center" vertical="center" textRotation="90"/>
    </xf>
    <xf numFmtId="0" fontId="23" fillId="51" borderId="0" xfId="0" applyFont="1" applyFill="1" applyAlignment="1">
      <alignment horizontal="center" vertical="center" textRotation="90"/>
    </xf>
    <xf numFmtId="0" fontId="0" fillId="28" borderId="0" xfId="0" applyFill="1" applyAlignment="1">
      <alignment horizontal="center" textRotation="90"/>
    </xf>
    <xf numFmtId="3" fontId="23" fillId="0" borderId="20" xfId="0" applyNumberFormat="1" applyFont="1" applyBorder="1" applyAlignment="1">
      <alignment horizontal="center"/>
    </xf>
    <xf numFmtId="3" fontId="23" fillId="0" borderId="20" xfId="0" applyNumberFormat="1" applyFont="1" applyBorder="1"/>
    <xf numFmtId="0" fontId="0" fillId="0" borderId="0" xfId="0" applyBorder="1" applyAlignment="1"/>
    <xf numFmtId="3" fontId="50" fillId="0" borderId="0" xfId="0" applyNumberFormat="1" applyFont="1" applyFill="1" applyBorder="1" applyAlignment="1">
      <alignment horizontal="center"/>
    </xf>
    <xf numFmtId="0" fontId="23" fillId="0" borderId="20" xfId="0" applyFont="1" applyBorder="1" applyAlignment="1">
      <alignment horizontal="center"/>
    </xf>
    <xf numFmtId="3" fontId="0" fillId="0" borderId="20" xfId="0" applyNumberFormat="1" applyBorder="1" applyAlignment="1">
      <alignment horizontal="center"/>
    </xf>
    <xf numFmtId="0" fontId="0" fillId="0" borderId="44" xfId="0" applyBorder="1"/>
    <xf numFmtId="0" fontId="0" fillId="0" borderId="45" xfId="0" applyBorder="1"/>
    <xf numFmtId="0" fontId="0" fillId="0" borderId="46" xfId="0" applyBorder="1"/>
    <xf numFmtId="0" fontId="53" fillId="0" borderId="35" xfId="0" applyFont="1" applyFill="1" applyBorder="1" applyAlignment="1">
      <alignment horizontal="center"/>
    </xf>
    <xf numFmtId="3" fontId="50" fillId="0" borderId="41" xfId="0" applyNumberFormat="1" applyFont="1" applyFill="1" applyBorder="1" applyAlignment="1">
      <alignment horizontal="center"/>
    </xf>
    <xf numFmtId="0" fontId="21" fillId="0" borderId="0" xfId="0" applyFont="1" applyAlignment="1">
      <alignment horizontal="right" vertical="center"/>
    </xf>
    <xf numFmtId="0" fontId="0" fillId="53" borderId="0" xfId="0" applyFont="1" applyFill="1" applyAlignment="1">
      <alignment horizontal="center" vertical="center" wrapText="1"/>
    </xf>
    <xf numFmtId="0" fontId="21" fillId="0" borderId="0" xfId="0" applyFont="1" applyAlignment="1">
      <alignment horizontal="right" vertical="center"/>
    </xf>
    <xf numFmtId="0" fontId="21" fillId="0" borderId="0" xfId="0" applyFont="1" applyAlignment="1">
      <alignment horizontal="right" vertical="center"/>
    </xf>
    <xf numFmtId="0" fontId="37" fillId="0" borderId="0" xfId="0" applyFont="1"/>
    <xf numFmtId="49" fontId="61" fillId="0" borderId="0" xfId="46" applyNumberFormat="1" applyFont="1"/>
    <xf numFmtId="49" fontId="60" fillId="0" borderId="0" xfId="46" applyNumberFormat="1"/>
    <xf numFmtId="0" fontId="0" fillId="28" borderId="0" xfId="0" applyFill="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xf>
    <xf numFmtId="0" fontId="0" fillId="0" borderId="0" xfId="0" applyAlignment="1">
      <alignment vertical="center"/>
    </xf>
    <xf numFmtId="22" fontId="0" fillId="45" borderId="0" xfId="0" applyNumberFormat="1" applyFill="1"/>
    <xf numFmtId="16" fontId="0" fillId="45" borderId="0" xfId="0" applyNumberFormat="1" applyFill="1" applyAlignment="1">
      <alignment vertical="center"/>
    </xf>
    <xf numFmtId="22" fontId="0" fillId="45" borderId="0" xfId="0" applyNumberFormat="1" applyFill="1" applyAlignment="1">
      <alignment vertical="center"/>
    </xf>
    <xf numFmtId="0" fontId="21" fillId="0" borderId="0" xfId="0" applyFont="1" applyAlignment="1">
      <alignment horizontal="right" vertical="center"/>
    </xf>
    <xf numFmtId="0" fontId="0" fillId="0" borderId="0" xfId="0" applyAlignment="1">
      <alignment vertical="center"/>
    </xf>
    <xf numFmtId="2" fontId="0" fillId="0" borderId="14" xfId="0" applyNumberFormat="1" applyBorder="1"/>
    <xf numFmtId="2" fontId="0" fillId="20" borderId="19" xfId="0" applyNumberFormat="1" applyFill="1" applyBorder="1"/>
    <xf numFmtId="0" fontId="0" fillId="50" borderId="0" xfId="0" applyFill="1" applyAlignment="1">
      <alignment vertical="center"/>
    </xf>
    <xf numFmtId="0" fontId="0" fillId="30" borderId="0" xfId="0" applyFill="1" applyAlignment="1">
      <alignment vertical="center" wrapText="1"/>
    </xf>
    <xf numFmtId="0" fontId="0" fillId="30" borderId="0" xfId="0" applyFill="1" applyAlignment="1">
      <alignment horizontal="center" vertical="center" wrapText="1"/>
    </xf>
    <xf numFmtId="0" fontId="24" fillId="0" borderId="27" xfId="0" applyFont="1" applyFill="1" applyBorder="1"/>
    <xf numFmtId="0" fontId="42" fillId="28" borderId="24" xfId="0" applyFont="1" applyFill="1" applyBorder="1" applyAlignment="1">
      <alignment horizontal="center" vertical="center"/>
    </xf>
    <xf numFmtId="0" fontId="20" fillId="0" borderId="40" xfId="0" applyFont="1" applyBorder="1" applyAlignment="1">
      <alignment horizontal="right"/>
    </xf>
    <xf numFmtId="0" fontId="0" fillId="28" borderId="0" xfId="0" applyFill="1" applyBorder="1" applyAlignment="1">
      <alignment horizontal="center"/>
    </xf>
    <xf numFmtId="0" fontId="0" fillId="0" borderId="28" xfId="0" applyFill="1" applyBorder="1"/>
    <xf numFmtId="0" fontId="20" fillId="28" borderId="24" xfId="0" applyFont="1" applyFill="1" applyBorder="1"/>
    <xf numFmtId="0" fontId="25" fillId="28" borderId="24" xfId="0" applyFont="1" applyFill="1" applyBorder="1"/>
    <xf numFmtId="0" fontId="0" fillId="28" borderId="25" xfId="0" applyFill="1" applyBorder="1"/>
    <xf numFmtId="0" fontId="50" fillId="0" borderId="26" xfId="0" applyFont="1" applyBorder="1"/>
    <xf numFmtId="14" fontId="23" fillId="0" borderId="25" xfId="0" applyNumberFormat="1" applyFont="1" applyBorder="1"/>
    <xf numFmtId="0" fontId="20" fillId="0" borderId="25" xfId="0" applyFont="1" applyBorder="1" applyAlignment="1">
      <alignment horizontal="left"/>
    </xf>
    <xf numFmtId="0" fontId="0" fillId="0" borderId="0" xfId="0" applyAlignment="1">
      <alignment horizontal="center"/>
    </xf>
    <xf numFmtId="0" fontId="0" fillId="38" borderId="0" xfId="0" applyFill="1" applyAlignment="1" applyProtection="1">
      <alignment horizontal="left"/>
    </xf>
    <xf numFmtId="0" fontId="0" fillId="42" borderId="0" xfId="0" applyFill="1" applyAlignment="1">
      <alignment horizontal="center"/>
    </xf>
    <xf numFmtId="0" fontId="50" fillId="52" borderId="0" xfId="0" applyFont="1" applyFill="1" applyAlignment="1">
      <alignment horizontal="center"/>
    </xf>
    <xf numFmtId="0" fontId="0" fillId="0" borderId="0" xfId="0" applyAlignment="1">
      <alignment vertical="center"/>
    </xf>
    <xf numFmtId="0" fontId="0" fillId="49" borderId="0" xfId="0" applyFill="1" applyAlignment="1">
      <alignment horizontal="center" vertical="center"/>
    </xf>
    <xf numFmtId="0" fontId="0" fillId="0" borderId="0" xfId="0" applyBorder="1" applyAlignment="1"/>
    <xf numFmtId="0" fontId="0" fillId="0" borderId="41" xfId="0" applyBorder="1" applyAlignment="1"/>
    <xf numFmtId="0" fontId="37" fillId="0" borderId="0" xfId="0" applyFont="1" applyAlignment="1">
      <alignment horizontal="center"/>
    </xf>
    <xf numFmtId="167" fontId="37" fillId="0" borderId="0" xfId="0" applyNumberFormat="1" applyFont="1"/>
    <xf numFmtId="178" fontId="37" fillId="0" borderId="0" xfId="0" applyNumberFormat="1" applyFont="1"/>
    <xf numFmtId="0" fontId="37" fillId="0" borderId="20" xfId="0" applyFont="1" applyBorder="1" applyAlignment="1">
      <alignment horizontal="center"/>
    </xf>
    <xf numFmtId="3" fontId="23" fillId="0" borderId="20" xfId="0" applyNumberFormat="1" applyFont="1" applyBorder="1" applyAlignment="1">
      <alignment horizontal="left"/>
    </xf>
    <xf numFmtId="0" fontId="23" fillId="0" borderId="20" xfId="0" applyFont="1" applyBorder="1" applyAlignment="1">
      <alignment horizontal="left"/>
    </xf>
    <xf numFmtId="0" fontId="0" fillId="0" borderId="0" xfId="0" applyAlignment="1">
      <alignment vertical="center"/>
    </xf>
    <xf numFmtId="0" fontId="23" fillId="0" borderId="0" xfId="0" applyFont="1" applyBorder="1"/>
    <xf numFmtId="0" fontId="0" fillId="25" borderId="0" xfId="0" applyFill="1" applyAlignment="1">
      <alignment horizontal="center"/>
    </xf>
    <xf numFmtId="0" fontId="24" fillId="0" borderId="38" xfId="0" applyFont="1" applyBorder="1" applyAlignment="1">
      <alignment horizontal="center"/>
    </xf>
    <xf numFmtId="0" fontId="0" fillId="28" borderId="0" xfId="0" applyFont="1" applyFill="1" applyAlignment="1">
      <alignment horizontal="center" vertical="center" wrapText="1"/>
    </xf>
    <xf numFmtId="0" fontId="0" fillId="28" borderId="0" xfId="0" applyFill="1" applyAlignment="1">
      <alignment horizontal="center"/>
    </xf>
    <xf numFmtId="0" fontId="0" fillId="0" borderId="0" xfId="0" applyAlignment="1">
      <alignment wrapText="1"/>
    </xf>
    <xf numFmtId="0" fontId="0" fillId="0" borderId="0" xfId="0" applyAlignment="1">
      <alignment vertical="center"/>
    </xf>
    <xf numFmtId="0" fontId="0" fillId="0" borderId="0" xfId="0" applyFont="1" applyFill="1" applyBorder="1" applyAlignment="1" applyProtection="1">
      <protection locked="0"/>
    </xf>
    <xf numFmtId="0" fontId="0" fillId="0" borderId="0" xfId="0" applyFont="1" applyFill="1" applyBorder="1" applyAlignment="1" applyProtection="1">
      <alignment horizontal="center"/>
    </xf>
    <xf numFmtId="0" fontId="23" fillId="0" borderId="0" xfId="0" applyFont="1" applyFill="1" applyBorder="1" applyAlignment="1" applyProtection="1">
      <protection locked="0"/>
    </xf>
    <xf numFmtId="0" fontId="22" fillId="0" borderId="0" xfId="0" applyFont="1" applyFill="1" applyBorder="1" applyAlignment="1" applyProtection="1">
      <alignment horizontal="left" vertical="center"/>
      <protection locked="0"/>
    </xf>
    <xf numFmtId="0" fontId="22" fillId="0" borderId="0" xfId="0" applyFont="1" applyFill="1" applyBorder="1" applyAlignment="1" applyProtection="1">
      <alignment horizontal="center" vertical="center"/>
      <protection locked="0"/>
    </xf>
    <xf numFmtId="175" fontId="22" fillId="0" borderId="0" xfId="0" applyNumberFormat="1" applyFont="1" applyFill="1" applyBorder="1" applyAlignment="1" applyProtection="1">
      <alignment horizontal="center" vertical="center"/>
      <protection locked="0"/>
    </xf>
    <xf numFmtId="0" fontId="38" fillId="0" borderId="0" xfId="0" applyFont="1" applyFill="1" applyBorder="1" applyAlignment="1" applyProtection="1">
      <alignment horizontal="center" vertical="center"/>
      <protection locked="0"/>
    </xf>
    <xf numFmtId="0" fontId="0" fillId="50" borderId="0" xfId="0" applyFont="1" applyFill="1" applyAlignment="1">
      <alignment vertical="center"/>
    </xf>
    <xf numFmtId="0" fontId="20" fillId="28" borderId="0" xfId="0" applyFont="1" applyFill="1"/>
    <xf numFmtId="0" fontId="0" fillId="25" borderId="0" xfId="0" applyFill="1" applyAlignment="1">
      <alignment horizontal="center"/>
    </xf>
    <xf numFmtId="0" fontId="0" fillId="28" borderId="0" xfId="0" applyFill="1" applyAlignment="1">
      <alignment horizontal="center"/>
    </xf>
    <xf numFmtId="0" fontId="0" fillId="0" borderId="0" xfId="0" applyAlignment="1">
      <alignment horizontal="center"/>
    </xf>
    <xf numFmtId="0" fontId="0" fillId="0" borderId="0" xfId="0" applyAlignment="1">
      <alignment wrapText="1"/>
    </xf>
    <xf numFmtId="0" fontId="21" fillId="6" borderId="0" xfId="0" applyFont="1" applyFill="1" applyBorder="1" applyAlignment="1">
      <alignment vertical="center"/>
    </xf>
    <xf numFmtId="0" fontId="23" fillId="6" borderId="0" xfId="0" applyFont="1" applyFill="1" applyBorder="1" applyAlignment="1"/>
    <xf numFmtId="0" fontId="0" fillId="0" borderId="0" xfId="0" applyAlignment="1">
      <alignment vertical="center"/>
    </xf>
    <xf numFmtId="0" fontId="0" fillId="0" borderId="0" xfId="0" applyAlignment="1">
      <alignment vertical="center" wrapText="1"/>
    </xf>
    <xf numFmtId="0" fontId="0" fillId="0" borderId="0" xfId="0" applyFont="1" applyAlignment="1" applyProtection="1">
      <alignment wrapText="1"/>
      <protection locked="0"/>
    </xf>
    <xf numFmtId="0" fontId="0" fillId="0" borderId="41" xfId="0" applyFill="1" applyBorder="1"/>
    <xf numFmtId="0" fontId="0" fillId="0" borderId="0" xfId="0" applyAlignment="1">
      <alignment horizontal="center"/>
    </xf>
    <xf numFmtId="0" fontId="0" fillId="42" borderId="35" xfId="0" applyFill="1" applyBorder="1" applyAlignment="1">
      <alignment horizontal="center"/>
    </xf>
    <xf numFmtId="0" fontId="0" fillId="47" borderId="36" xfId="0" applyFill="1" applyBorder="1" applyAlignment="1">
      <alignment horizontal="center"/>
    </xf>
    <xf numFmtId="0" fontId="0" fillId="47" borderId="37" xfId="0" applyFill="1" applyBorder="1" applyAlignment="1">
      <alignment horizontal="center"/>
    </xf>
    <xf numFmtId="0" fontId="23" fillId="0" borderId="41" xfId="0" applyFont="1" applyBorder="1"/>
    <xf numFmtId="0" fontId="20" fillId="0" borderId="0" xfId="0" applyFont="1" applyFill="1" applyBorder="1"/>
    <xf numFmtId="0" fontId="20" fillId="0" borderId="41" xfId="0" applyFont="1" applyBorder="1"/>
    <xf numFmtId="0" fontId="23" fillId="0" borderId="0" xfId="0" applyFont="1" applyAlignment="1">
      <alignment vertical="center" wrapText="1"/>
    </xf>
    <xf numFmtId="0" fontId="0" fillId="0" borderId="0" xfId="0" applyAlignment="1"/>
    <xf numFmtId="0" fontId="0" fillId="30" borderId="0" xfId="0" applyFill="1" applyAlignment="1">
      <alignment horizontal="center"/>
    </xf>
    <xf numFmtId="0" fontId="0" fillId="0" borderId="0" xfId="0" applyAlignment="1">
      <alignment horizontal="center"/>
    </xf>
    <xf numFmtId="0" fontId="0" fillId="0" borderId="0" xfId="0" applyAlignment="1">
      <alignment horizontal="right"/>
    </xf>
    <xf numFmtId="0" fontId="0" fillId="28" borderId="0" xfId="0" applyFill="1"/>
    <xf numFmtId="14" fontId="0" fillId="0" borderId="39" xfId="0" applyNumberFormat="1" applyFill="1" applyBorder="1"/>
    <xf numFmtId="0" fontId="0" fillId="0" borderId="0" xfId="0" applyAlignment="1">
      <alignment horizontal="right"/>
    </xf>
    <xf numFmtId="0" fontId="0" fillId="52" borderId="0" xfId="0" applyFill="1"/>
    <xf numFmtId="0" fontId="0" fillId="0" borderId="0" xfId="0" applyAlignment="1">
      <alignment horizontal="center"/>
    </xf>
    <xf numFmtId="0" fontId="44" fillId="0" borderId="0" xfId="0" applyFont="1" applyAlignment="1">
      <alignment horizontal="center"/>
    </xf>
    <xf numFmtId="0" fontId="0" fillId="53" borderId="0" xfId="0" applyFill="1" applyAlignment="1">
      <alignment horizontal="center" vertical="center"/>
    </xf>
    <xf numFmtId="184" fontId="0" fillId="0" borderId="0" xfId="0" applyNumberFormat="1" applyFill="1" applyBorder="1" applyAlignment="1">
      <alignment horizontal="center"/>
    </xf>
    <xf numFmtId="0" fontId="25" fillId="0" borderId="0" xfId="0" applyFont="1" applyBorder="1" applyAlignment="1">
      <alignment horizontal="center"/>
    </xf>
    <xf numFmtId="0" fontId="24" fillId="0" borderId="30" xfId="0" applyFont="1" applyBorder="1" applyAlignment="1">
      <alignment horizontal="center"/>
    </xf>
    <xf numFmtId="0" fontId="0" fillId="0" borderId="0" xfId="0" applyAlignment="1">
      <alignment horizontal="center" wrapText="1"/>
    </xf>
    <xf numFmtId="0" fontId="93" fillId="0" borderId="0" xfId="0" applyFont="1" applyBorder="1"/>
    <xf numFmtId="0" fontId="0" fillId="0" borderId="0" xfId="0" applyAlignment="1">
      <alignment horizontal="center"/>
    </xf>
    <xf numFmtId="0" fontId="0" fillId="0" borderId="0" xfId="0" applyFill="1" applyAlignment="1">
      <alignment horizontal="center"/>
    </xf>
    <xf numFmtId="0" fontId="0" fillId="0" borderId="0" xfId="0" applyAlignment="1">
      <alignment horizontal="center"/>
    </xf>
    <xf numFmtId="0" fontId="0" fillId="0" borderId="0" xfId="0" applyBorder="1" applyAlignment="1">
      <alignment horizontal="right"/>
    </xf>
    <xf numFmtId="0" fontId="0" fillId="0" borderId="0" xfId="0" applyAlignment="1">
      <alignment wrapText="1"/>
    </xf>
    <xf numFmtId="0" fontId="21" fillId="0" borderId="0" xfId="0" applyFont="1" applyAlignment="1">
      <alignment horizontal="right" vertical="center"/>
    </xf>
    <xf numFmtId="0" fontId="50" fillId="0" borderId="0" xfId="0" applyFont="1" applyAlignment="1">
      <alignment horizontal="right"/>
    </xf>
    <xf numFmtId="0" fontId="39" fillId="0" borderId="0" xfId="0" applyFont="1"/>
    <xf numFmtId="0" fontId="39" fillId="42" borderId="0" xfId="0" applyFont="1" applyFill="1"/>
    <xf numFmtId="0" fontId="0" fillId="42" borderId="0" xfId="0" applyFill="1"/>
    <xf numFmtId="0" fontId="0" fillId="0" borderId="0" xfId="0" applyBorder="1" applyAlignment="1">
      <alignment horizontal="center"/>
    </xf>
    <xf numFmtId="0" fontId="0" fillId="0" borderId="0" xfId="0" applyFont="1" applyBorder="1" applyAlignment="1"/>
    <xf numFmtId="0" fontId="0" fillId="0" borderId="30" xfId="0" applyBorder="1" applyAlignment="1"/>
    <xf numFmtId="0" fontId="0" fillId="0" borderId="0" xfId="0"/>
    <xf numFmtId="0" fontId="20" fillId="0" borderId="0" xfId="0" applyFont="1" applyBorder="1" applyAlignment="1">
      <alignment horizontal="center"/>
    </xf>
    <xf numFmtId="0" fontId="0" fillId="0" borderId="0" xfId="0"/>
    <xf numFmtId="0" fontId="26" fillId="0" borderId="0" xfId="0" applyFont="1" applyBorder="1" applyAlignment="1"/>
    <xf numFmtId="185" fontId="23" fillId="0" borderId="20" xfId="0" applyNumberFormat="1" applyFont="1" applyBorder="1" applyAlignment="1">
      <alignment horizontal="center"/>
    </xf>
    <xf numFmtId="0" fontId="0" fillId="0" borderId="0" xfId="0"/>
    <xf numFmtId="0" fontId="0" fillId="0" borderId="0" xfId="0" applyAlignment="1">
      <alignment wrapText="1"/>
    </xf>
    <xf numFmtId="0" fontId="0" fillId="0" borderId="0" xfId="0" applyAlignment="1">
      <alignment vertical="center"/>
    </xf>
    <xf numFmtId="0" fontId="0" fillId="0" borderId="0" xfId="0" applyAlignment="1">
      <alignment horizontal="center"/>
    </xf>
    <xf numFmtId="0" fontId="26" fillId="0" borderId="0" xfId="0" applyFont="1" applyFill="1" applyAlignment="1">
      <alignment horizontal="center" vertical="center" textRotation="90" wrapText="1"/>
    </xf>
    <xf numFmtId="0" fontId="26" fillId="53" borderId="0" xfId="0" applyFont="1" applyFill="1" applyAlignment="1">
      <alignment horizontal="center" vertical="center" textRotation="90" wrapText="1"/>
    </xf>
    <xf numFmtId="0" fontId="0" fillId="0" borderId="0" xfId="0" applyAlignment="1">
      <alignment horizontal="center"/>
    </xf>
    <xf numFmtId="0" fontId="0" fillId="0" borderId="0" xfId="0" applyAlignment="1">
      <alignment horizontal="center"/>
    </xf>
    <xf numFmtId="0" fontId="20" fillId="0" borderId="0" xfId="0" applyFont="1" applyAlignment="1">
      <alignment horizontal="center"/>
    </xf>
    <xf numFmtId="0" fontId="0" fillId="0" borderId="0" xfId="0" applyFill="1" applyAlignment="1">
      <alignment horizontal="center"/>
    </xf>
    <xf numFmtId="0" fontId="0" fillId="0" borderId="0" xfId="0" applyAlignment="1">
      <alignment horizontal="center" vertical="center"/>
    </xf>
    <xf numFmtId="0" fontId="0" fillId="0" borderId="0" xfId="0" applyAlignment="1">
      <alignment horizontal="center"/>
    </xf>
    <xf numFmtId="0" fontId="26" fillId="0" borderId="0" xfId="0" applyFont="1" applyAlignment="1">
      <alignment wrapText="1"/>
    </xf>
    <xf numFmtId="0" fontId="20" fillId="0" borderId="0" xfId="0" applyFont="1" applyBorder="1" applyAlignment="1">
      <alignment horizontal="center"/>
    </xf>
    <xf numFmtId="0" fontId="0" fillId="0" borderId="0" xfId="0"/>
    <xf numFmtId="0" fontId="0" fillId="0" borderId="25" xfId="0" applyBorder="1" applyAlignment="1">
      <alignment horizontal="center"/>
    </xf>
    <xf numFmtId="0" fontId="50" fillId="0" borderId="27" xfId="0" applyFont="1" applyBorder="1" applyAlignment="1">
      <alignment horizontal="right"/>
    </xf>
    <xf numFmtId="0" fontId="56" fillId="0" borderId="27" xfId="0" applyFont="1" applyBorder="1"/>
    <xf numFmtId="0" fontId="25" fillId="0" borderId="30" xfId="0" applyFont="1" applyBorder="1" applyAlignment="1">
      <alignment horizontal="center"/>
    </xf>
    <xf numFmtId="0" fontId="37" fillId="0" borderId="30" xfId="0" applyFont="1" applyBorder="1" applyAlignment="1">
      <alignment horizontal="left"/>
    </xf>
    <xf numFmtId="0" fontId="37" fillId="0" borderId="29" xfId="0" applyFont="1" applyBorder="1"/>
    <xf numFmtId="0" fontId="0" fillId="0" borderId="0" xfId="0" applyBorder="1" applyAlignment="1">
      <alignment horizontal="right"/>
    </xf>
    <xf numFmtId="0" fontId="0" fillId="0" borderId="0" xfId="0"/>
    <xf numFmtId="0" fontId="21" fillId="0" borderId="13" xfId="0" applyFont="1" applyBorder="1" applyAlignment="1">
      <alignment horizontal="left" vertical="center"/>
    </xf>
    <xf numFmtId="0" fontId="21" fillId="0" borderId="0" xfId="0" applyFont="1" applyAlignment="1">
      <alignment horizontal="right" vertical="center"/>
    </xf>
    <xf numFmtId="0" fontId="54" fillId="0" borderId="0" xfId="0" applyFont="1" applyFill="1" applyBorder="1" applyProtection="1">
      <protection locked="0"/>
    </xf>
    <xf numFmtId="0" fontId="21" fillId="0" borderId="14" xfId="0" applyFont="1" applyBorder="1" applyAlignment="1">
      <alignment horizontal="right" vertical="center"/>
    </xf>
    <xf numFmtId="0" fontId="0" fillId="28" borderId="0" xfId="0" applyFill="1" applyAlignment="1">
      <alignment horizontal="center"/>
    </xf>
    <xf numFmtId="0" fontId="0" fillId="0" borderId="0" xfId="0"/>
    <xf numFmtId="0" fontId="0" fillId="0" borderId="0" xfId="0" applyAlignment="1">
      <alignment wrapText="1"/>
    </xf>
    <xf numFmtId="0" fontId="0" fillId="0" borderId="0" xfId="0" applyAlignment="1">
      <alignment vertical="center"/>
    </xf>
    <xf numFmtId="0" fontId="0" fillId="0" borderId="0" xfId="0" applyAlignment="1">
      <alignment horizontal="center"/>
    </xf>
    <xf numFmtId="0" fontId="0" fillId="28" borderId="0" xfId="0" applyFill="1" applyAlignment="1">
      <alignment horizontal="center"/>
    </xf>
    <xf numFmtId="0" fontId="0" fillId="0" borderId="0" xfId="0"/>
    <xf numFmtId="0" fontId="0" fillId="0" borderId="0" xfId="0" applyAlignment="1">
      <alignment vertical="center"/>
    </xf>
    <xf numFmtId="0" fontId="23" fillId="0" borderId="0" xfId="0" applyFont="1" applyFill="1" applyBorder="1" applyAlignment="1">
      <alignment horizontal="left"/>
    </xf>
    <xf numFmtId="0" fontId="50" fillId="86" borderId="0" xfId="0" applyFont="1" applyFill="1" applyAlignment="1">
      <alignment horizontal="center"/>
    </xf>
    <xf numFmtId="0" fontId="0" fillId="0" borderId="0" xfId="0" applyAlignment="1">
      <alignment horizontal="center"/>
    </xf>
    <xf numFmtId="0" fontId="0" fillId="0" borderId="0" xfId="0"/>
    <xf numFmtId="0" fontId="0" fillId="0" borderId="0" xfId="0" applyAlignment="1">
      <alignment vertical="center"/>
    </xf>
    <xf numFmtId="0" fontId="94" fillId="46" borderId="37" xfId="0" applyFont="1" applyFill="1" applyBorder="1"/>
    <xf numFmtId="0" fontId="0" fillId="0" borderId="0" xfId="0"/>
    <xf numFmtId="0" fontId="0" fillId="0" borderId="0" xfId="0" applyAlignment="1">
      <alignment horizontal="center" vertical="center"/>
    </xf>
    <xf numFmtId="0" fontId="0" fillId="0" borderId="0" xfId="0" applyAlignment="1">
      <alignment vertical="center"/>
    </xf>
    <xf numFmtId="0" fontId="50" fillId="0" borderId="0" xfId="0" applyFont="1" applyFill="1" applyBorder="1" applyAlignment="1">
      <alignment horizontal="left"/>
    </xf>
    <xf numFmtId="0" fontId="50" fillId="0" borderId="30" xfId="0" applyFont="1" applyFill="1" applyBorder="1" applyAlignment="1">
      <alignment horizontal="left"/>
    </xf>
    <xf numFmtId="0" fontId="23" fillId="0" borderId="20" xfId="0" applyFont="1" applyBorder="1" applyAlignment="1"/>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applyAlignment="1">
      <alignment horizontal="center"/>
    </xf>
    <xf numFmtId="0" fontId="0" fillId="87" borderId="0" xfId="0" applyFill="1"/>
    <xf numFmtId="0" fontId="0" fillId="85" borderId="0" xfId="0" applyFill="1"/>
    <xf numFmtId="0" fontId="0" fillId="35" borderId="0" xfId="0" applyFill="1"/>
    <xf numFmtId="0" fontId="0" fillId="88" borderId="0" xfId="0" applyFill="1"/>
    <xf numFmtId="0" fontId="0" fillId="49" borderId="0" xfId="0" applyFill="1"/>
    <xf numFmtId="0" fontId="0" fillId="36" borderId="0" xfId="0" applyFill="1"/>
    <xf numFmtId="0" fontId="0" fillId="89" borderId="0" xfId="0" applyFill="1" applyAlignment="1">
      <alignment horizontal="center" vertical="center" wrapText="1"/>
    </xf>
    <xf numFmtId="0" fontId="0" fillId="0" borderId="0" xfId="0" applyAlignment="1">
      <alignment horizontal="left" vertical="center"/>
    </xf>
    <xf numFmtId="0" fontId="0" fillId="0" borderId="0" xfId="0" applyAlignment="1">
      <alignment wrapText="1"/>
    </xf>
    <xf numFmtId="0" fontId="0" fillId="0" borderId="0" xfId="0" applyAlignment="1">
      <alignment vertical="center"/>
    </xf>
    <xf numFmtId="0" fontId="0" fillId="0" borderId="0" xfId="0" applyAlignment="1">
      <alignment horizontal="right"/>
    </xf>
    <xf numFmtId="0" fontId="0" fillId="0" borderId="0" xfId="0" applyAlignment="1">
      <alignment horizontal="right"/>
    </xf>
    <xf numFmtId="0" fontId="0" fillId="0" borderId="0" xfId="0" applyAlignment="1">
      <alignment horizontal="left" vertical="top"/>
    </xf>
    <xf numFmtId="3" fontId="94" fillId="46" borderId="42" xfId="0" applyNumberFormat="1" applyFont="1" applyFill="1" applyBorder="1"/>
    <xf numFmtId="14" fontId="26" fillId="0" borderId="0" xfId="0" applyNumberFormat="1" applyFont="1" applyAlignment="1">
      <alignment horizontal="right"/>
    </xf>
    <xf numFmtId="0" fontId="0" fillId="0" borderId="0" xfId="0" applyAlignment="1"/>
    <xf numFmtId="0" fontId="0" fillId="0" borderId="0" xfId="0" applyAlignment="1">
      <alignment horizontal="center"/>
    </xf>
    <xf numFmtId="0" fontId="0" fillId="0" borderId="36" xfId="0" applyBorder="1" applyAlignment="1"/>
    <xf numFmtId="0" fontId="0" fillId="0" borderId="0" xfId="0" applyAlignment="1">
      <alignment horizontal="right"/>
    </xf>
    <xf numFmtId="0" fontId="0" fillId="0" borderId="36" xfId="0" applyBorder="1" applyAlignment="1">
      <alignment horizontal="left"/>
    </xf>
    <xf numFmtId="0" fontId="0" fillId="0" borderId="41" xfId="0" applyBorder="1" applyAlignment="1">
      <alignment horizontal="left"/>
    </xf>
    <xf numFmtId="0" fontId="23" fillId="0" borderId="0" xfId="0" applyFont="1" applyAlignment="1">
      <alignment horizontal="center" vertical="center"/>
    </xf>
    <xf numFmtId="0" fontId="0" fillId="0" borderId="36" xfId="0" applyBorder="1" applyAlignment="1">
      <alignment horizontal="center" vertical="center"/>
    </xf>
    <xf numFmtId="0" fontId="0" fillId="0" borderId="0" xfId="0" applyAlignment="1">
      <alignment horizontal="center"/>
    </xf>
    <xf numFmtId="0" fontId="0" fillId="28" borderId="0" xfId="0" applyFill="1" applyAlignment="1">
      <alignment horizontal="center" vertical="center"/>
    </xf>
    <xf numFmtId="0" fontId="0" fillId="28" borderId="0" xfId="0" applyFill="1" applyAlignment="1">
      <alignment horizontal="center" wrapText="1"/>
    </xf>
    <xf numFmtId="0" fontId="0" fillId="92" borderId="0" xfId="0" applyFill="1" applyAlignment="1">
      <alignment horizontal="center" wrapText="1"/>
    </xf>
    <xf numFmtId="0" fontId="0" fillId="25" borderId="0" xfId="0" applyFill="1" applyAlignment="1">
      <alignment horizontal="center" wrapText="1"/>
    </xf>
    <xf numFmtId="0" fontId="0" fillId="51" borderId="0" xfId="0" applyFill="1" applyAlignment="1">
      <alignment horizontal="center" vertical="center" wrapText="1"/>
    </xf>
    <xf numFmtId="0" fontId="0" fillId="37" borderId="0" xfId="0" applyFill="1" applyAlignment="1">
      <alignment horizontal="center" vertical="center" wrapText="1"/>
    </xf>
    <xf numFmtId="0" fontId="0" fillId="0" borderId="0" xfId="0" applyAlignment="1">
      <alignment horizontal="center"/>
    </xf>
    <xf numFmtId="0" fontId="0" fillId="28" borderId="0" xfId="0" applyFill="1" applyAlignment="1">
      <alignment horizontal="center" vertical="center"/>
    </xf>
    <xf numFmtId="0" fontId="0" fillId="0" borderId="0" xfId="0" applyAlignment="1">
      <alignment horizontal="center"/>
    </xf>
    <xf numFmtId="0" fontId="0" fillId="0" borderId="0" xfId="0" applyAlignment="1">
      <alignment horizontal="center"/>
    </xf>
    <xf numFmtId="0" fontId="0" fillId="0" borderId="0" xfId="0" applyAlignment="1">
      <alignment horizontal="center" vertical="center"/>
    </xf>
    <xf numFmtId="0" fontId="26" fillId="25" borderId="0" xfId="0" applyFont="1" applyFill="1" applyAlignment="1">
      <alignment horizontal="center" vertical="center" wrapText="1"/>
    </xf>
    <xf numFmtId="0" fontId="20" fillId="93" borderId="0" xfId="0" applyFont="1" applyFill="1" applyAlignment="1">
      <alignment horizontal="center" vertical="center"/>
    </xf>
    <xf numFmtId="0" fontId="0" fillId="25" borderId="0" xfId="0" applyFont="1" applyFill="1" applyAlignment="1">
      <alignment horizontal="center" vertical="center"/>
    </xf>
    <xf numFmtId="0" fontId="39" fillId="0" borderId="13" xfId="0" applyFont="1" applyBorder="1"/>
    <xf numFmtId="0" fontId="0" fillId="28" borderId="0" xfId="0" applyFill="1" applyAlignment="1">
      <alignment horizontal="center"/>
    </xf>
    <xf numFmtId="0" fontId="0" fillId="0" borderId="0" xfId="0" applyAlignment="1">
      <alignment horizontal="left"/>
    </xf>
    <xf numFmtId="0" fontId="0" fillId="0" borderId="0" xfId="0" applyAlignment="1">
      <alignment vertical="center" wrapText="1"/>
    </xf>
    <xf numFmtId="0" fontId="0" fillId="0" borderId="0" xfId="0" applyAlignment="1">
      <alignment vertical="center"/>
    </xf>
    <xf numFmtId="0" fontId="0" fillId="49" borderId="0" xfId="0" applyFill="1" applyAlignment="1">
      <alignment horizontal="left" vertical="center"/>
    </xf>
    <xf numFmtId="0" fontId="50" fillId="52" borderId="0" xfId="0" applyFont="1" applyFill="1" applyAlignment="1">
      <alignment horizontal="right"/>
    </xf>
    <xf numFmtId="3" fontId="0" fillId="0" borderId="0" xfId="0" applyNumberFormat="1"/>
    <xf numFmtId="0" fontId="24" fillId="28" borderId="36" xfId="0" applyFont="1" applyFill="1" applyBorder="1" applyAlignment="1">
      <alignment horizontal="center" vertical="center" textRotation="90"/>
    </xf>
    <xf numFmtId="0" fontId="0" fillId="0" borderId="0" xfId="0" applyAlignment="1">
      <alignment horizontal="center" vertical="center"/>
    </xf>
    <xf numFmtId="0" fontId="0" fillId="0" borderId="0" xfId="0" applyAlignment="1">
      <alignment horizontal="center" vertical="center"/>
    </xf>
    <xf numFmtId="0" fontId="0" fillId="0" borderId="0" xfId="0" applyBorder="1" applyAlignment="1"/>
    <xf numFmtId="0" fontId="24" fillId="0" borderId="0" xfId="0" applyFont="1" applyBorder="1" applyAlignment="1">
      <alignment horizontal="center"/>
    </xf>
    <xf numFmtId="0" fontId="0" fillId="0" borderId="41" xfId="0" applyBorder="1" applyAlignment="1"/>
    <xf numFmtId="0" fontId="0" fillId="0" borderId="0" xfId="0" applyBorder="1" applyAlignment="1">
      <alignment horizontal="right"/>
    </xf>
    <xf numFmtId="0" fontId="95" fillId="0" borderId="0" xfId="0" applyFont="1" applyBorder="1" applyAlignment="1">
      <alignment horizontal="center" vertical="center"/>
    </xf>
    <xf numFmtId="14" fontId="0" fillId="0" borderId="30" xfId="0" applyNumberFormat="1" applyBorder="1"/>
    <xf numFmtId="0" fontId="0" fillId="28" borderId="24" xfId="0" applyFill="1" applyBorder="1"/>
    <xf numFmtId="175" fontId="26" fillId="0" borderId="25" xfId="0" applyNumberFormat="1" applyFont="1" applyBorder="1" applyAlignment="1">
      <alignment horizontal="right"/>
    </xf>
    <xf numFmtId="0" fontId="37" fillId="0" borderId="25" xfId="0" applyFont="1" applyBorder="1" applyAlignment="1">
      <alignment horizontal="right"/>
    </xf>
    <xf numFmtId="0" fontId="0" fillId="28" borderId="25" xfId="0" applyFill="1" applyBorder="1" applyAlignment="1">
      <alignment horizontal="right"/>
    </xf>
    <xf numFmtId="175" fontId="26" fillId="0" borderId="30" xfId="0" applyNumberFormat="1" applyFont="1" applyBorder="1" applyAlignment="1">
      <alignment horizontal="right"/>
    </xf>
    <xf numFmtId="0" fontId="37" fillId="0" borderId="30" xfId="0" applyFont="1" applyBorder="1" applyAlignment="1">
      <alignment horizontal="right"/>
    </xf>
    <xf numFmtId="0" fontId="0" fillId="85" borderId="0" xfId="0" applyFill="1" applyAlignment="1"/>
    <xf numFmtId="0" fontId="0" fillId="0" borderId="0" xfId="0" applyAlignment="1">
      <alignment horizontal="center" vertical="center"/>
    </xf>
    <xf numFmtId="0" fontId="20" fillId="0" borderId="29" xfId="0" applyFont="1" applyFill="1" applyBorder="1"/>
    <xf numFmtId="0" fontId="43" fillId="0" borderId="30" xfId="0" applyNumberFormat="1" applyFont="1" applyBorder="1" applyAlignment="1">
      <alignment horizontal="center"/>
    </xf>
    <xf numFmtId="0" fontId="96" fillId="29" borderId="0" xfId="0" applyFont="1" applyFill="1" applyAlignment="1"/>
    <xf numFmtId="0" fontId="96" fillId="0" borderId="0" xfId="0" applyFont="1"/>
    <xf numFmtId="0" fontId="96" fillId="0" borderId="0" xfId="0" applyFont="1" applyProtection="1"/>
    <xf numFmtId="0" fontId="9" fillId="22" borderId="0" xfId="32" applyAlignment="1">
      <alignment horizontal="center"/>
    </xf>
    <xf numFmtId="0" fontId="50" fillId="0" borderId="30" xfId="0" applyFont="1" applyFill="1" applyBorder="1" applyAlignment="1">
      <alignment horizontal="center"/>
    </xf>
    <xf numFmtId="0" fontId="50" fillId="0" borderId="31" xfId="0" applyFont="1" applyBorder="1" applyAlignment="1">
      <alignment horizontal="left"/>
    </xf>
    <xf numFmtId="0" fontId="0" fillId="0" borderId="0" xfId="0" applyAlignment="1">
      <alignment horizontal="center"/>
    </xf>
    <xf numFmtId="0" fontId="0" fillId="53" borderId="0" xfId="0" applyFill="1" applyAlignment="1">
      <alignment horizontal="center" vertical="center" wrapText="1"/>
    </xf>
    <xf numFmtId="0" fontId="0" fillId="0" borderId="0" xfId="0" applyAlignment="1">
      <alignment horizontal="center" vertical="center"/>
    </xf>
    <xf numFmtId="0" fontId="0" fillId="0" borderId="0" xfId="0" applyBorder="1" applyAlignment="1"/>
    <xf numFmtId="0" fontId="24" fillId="0" borderId="0" xfId="0" applyFont="1" applyBorder="1" applyAlignment="1">
      <alignment horizontal="center"/>
    </xf>
    <xf numFmtId="0" fontId="0" fillId="0" borderId="0" xfId="0" applyBorder="1" applyAlignment="1">
      <alignment horizontal="right"/>
    </xf>
    <xf numFmtId="0" fontId="97" fillId="0" borderId="0" xfId="0" applyFont="1"/>
    <xf numFmtId="0" fontId="0" fillId="0" borderId="32" xfId="0" applyBorder="1"/>
    <xf numFmtId="0" fontId="26" fillId="0" borderId="33" xfId="0" applyFont="1" applyBorder="1"/>
    <xf numFmtId="0" fontId="0" fillId="0" borderId="33" xfId="0" applyBorder="1"/>
    <xf numFmtId="0" fontId="97" fillId="0" borderId="33" xfId="0" applyFont="1" applyBorder="1"/>
    <xf numFmtId="3" fontId="0" fillId="0" borderId="33" xfId="0" applyNumberFormat="1" applyBorder="1"/>
    <xf numFmtId="0" fontId="0" fillId="28" borderId="33" xfId="0" applyFill="1" applyBorder="1"/>
    <xf numFmtId="0" fontId="0" fillId="0" borderId="34" xfId="0" applyBorder="1"/>
    <xf numFmtId="0" fontId="50" fillId="0" borderId="0" xfId="0" applyFont="1" applyAlignment="1">
      <alignment vertical="center"/>
    </xf>
    <xf numFmtId="0" fontId="20" fillId="28" borderId="21" xfId="0" applyFont="1" applyFill="1" applyBorder="1"/>
    <xf numFmtId="0" fontId="0" fillId="28" borderId="22" xfId="0" applyFill="1" applyBorder="1"/>
    <xf numFmtId="0" fontId="0" fillId="0" borderId="0" xfId="0" applyBorder="1" applyAlignment="1"/>
    <xf numFmtId="0" fontId="24" fillId="0" borderId="0" xfId="0" applyFont="1" applyBorder="1" applyAlignment="1">
      <alignment horizontal="center"/>
    </xf>
    <xf numFmtId="0" fontId="0" fillId="0" borderId="41" xfId="0" applyBorder="1" applyAlignment="1"/>
    <xf numFmtId="0" fontId="0" fillId="0" borderId="0" xfId="0" applyBorder="1" applyAlignment="1">
      <alignment horizontal="right"/>
    </xf>
    <xf numFmtId="0" fontId="0" fillId="0" borderId="0" xfId="0" applyAlignment="1">
      <alignment horizontal="center" vertical="center"/>
    </xf>
    <xf numFmtId="0" fontId="50" fillId="0" borderId="26" xfId="0" applyNumberFormat="1" applyFont="1" applyBorder="1" applyAlignment="1">
      <alignment horizontal="center"/>
    </xf>
    <xf numFmtId="0" fontId="50" fillId="0" borderId="31" xfId="0" applyNumberFormat="1" applyFont="1" applyBorder="1" applyAlignment="1">
      <alignment horizontal="center"/>
    </xf>
    <xf numFmtId="3" fontId="23" fillId="0" borderId="25" xfId="0" applyNumberFormat="1" applyFont="1" applyBorder="1"/>
    <xf numFmtId="185" fontId="43" fillId="0" borderId="30" xfId="0" applyNumberFormat="1" applyFont="1" applyBorder="1"/>
    <xf numFmtId="0" fontId="98" fillId="0" borderId="30" xfId="0" applyFont="1" applyBorder="1" applyAlignment="1">
      <alignment horizontal="right"/>
    </xf>
    <xf numFmtId="0" fontId="0" fillId="0" borderId="0" xfId="0" applyAlignment="1">
      <alignment vertical="center"/>
    </xf>
    <xf numFmtId="0" fontId="0" fillId="0" borderId="31" xfId="0" applyBorder="1" applyAlignment="1">
      <alignment horizontal="left"/>
    </xf>
    <xf numFmtId="0" fontId="20" fillId="37" borderId="0" xfId="0" applyFont="1" applyFill="1" applyAlignment="1">
      <alignment horizontal="center" vertical="center" wrapText="1"/>
    </xf>
    <xf numFmtId="0" fontId="0" fillId="0" borderId="0" xfId="0" applyAlignment="1">
      <alignment horizontal="center" vertical="center"/>
    </xf>
    <xf numFmtId="0" fontId="41" fillId="94" borderId="0" xfId="0" applyFont="1" applyFill="1" applyAlignment="1">
      <alignment horizontal="center"/>
    </xf>
    <xf numFmtId="0" fontId="0" fillId="0" borderId="0" xfId="0" applyBorder="1" applyAlignment="1">
      <alignment horizontal="center"/>
    </xf>
    <xf numFmtId="0" fontId="0" fillId="0" borderId="0" xfId="0" applyAlignment="1"/>
    <xf numFmtId="169" fontId="99" fillId="0" borderId="0" xfId="0" applyNumberFormat="1" applyFont="1"/>
    <xf numFmtId="169" fontId="26" fillId="0" borderId="0" xfId="0" applyNumberFormat="1" applyFont="1"/>
    <xf numFmtId="0" fontId="0" fillId="0" borderId="38" xfId="0" applyBorder="1" applyAlignment="1">
      <alignment horizontal="right"/>
    </xf>
    <xf numFmtId="0" fontId="26" fillId="0" borderId="0" xfId="0" applyFont="1" applyBorder="1"/>
    <xf numFmtId="0" fontId="39" fillId="0" borderId="0" xfId="0" applyFont="1" applyFill="1" applyBorder="1" applyAlignment="1">
      <alignment horizontal="center"/>
    </xf>
    <xf numFmtId="0" fontId="0" fillId="0" borderId="0" xfId="0" applyFill="1" applyBorder="1" applyAlignment="1">
      <alignment horizontal="left"/>
    </xf>
    <xf numFmtId="3" fontId="94" fillId="0" borderId="0" xfId="0" applyNumberFormat="1" applyFont="1" applyFill="1" applyBorder="1"/>
    <xf numFmtId="0" fontId="0" fillId="0" borderId="35" xfId="0" applyFill="1" applyBorder="1" applyAlignment="1">
      <alignment horizontal="center"/>
    </xf>
    <xf numFmtId="0" fontId="0" fillId="47" borderId="39" xfId="0" applyFill="1" applyBorder="1"/>
    <xf numFmtId="0" fontId="0" fillId="47" borderId="42" xfId="0" applyFill="1" applyBorder="1"/>
    <xf numFmtId="0" fontId="94" fillId="95" borderId="37" xfId="0" applyFont="1" applyFill="1" applyBorder="1" applyAlignment="1">
      <alignment horizontal="center"/>
    </xf>
    <xf numFmtId="0" fontId="94" fillId="95" borderId="42" xfId="0" applyFont="1" applyFill="1" applyBorder="1" applyAlignment="1">
      <alignment horizontal="center"/>
    </xf>
    <xf numFmtId="0" fontId="0" fillId="0" borderId="0" xfId="0" applyAlignment="1">
      <alignment vertical="center"/>
    </xf>
    <xf numFmtId="0" fontId="0" fillId="0" borderId="0" xfId="0" applyAlignment="1">
      <alignment wrapText="1"/>
    </xf>
    <xf numFmtId="0" fontId="0" fillId="0" borderId="0" xfId="0" applyAlignment="1">
      <alignment horizontal="center"/>
    </xf>
    <xf numFmtId="0" fontId="20" fillId="25" borderId="0" xfId="0" applyFont="1" applyFill="1" applyAlignment="1">
      <alignment horizontal="center"/>
    </xf>
    <xf numFmtId="0" fontId="20" fillId="0" borderId="0" xfId="0" applyFont="1" applyAlignment="1"/>
    <xf numFmtId="0" fontId="20" fillId="29" borderId="0" xfId="0" applyFont="1" applyFill="1" applyAlignment="1">
      <alignment horizontal="center"/>
    </xf>
    <xf numFmtId="0" fontId="0" fillId="4" borderId="0" xfId="0" applyFont="1" applyFill="1" applyBorder="1" applyAlignment="1">
      <alignment horizontal="center" vertical="center"/>
    </xf>
    <xf numFmtId="0" fontId="20" fillId="38" borderId="0" xfId="0" applyFont="1" applyFill="1" applyAlignment="1">
      <alignment horizontal="center"/>
    </xf>
    <xf numFmtId="174" fontId="0" fillId="25" borderId="0" xfId="0" applyNumberFormat="1" applyFill="1" applyAlignment="1"/>
    <xf numFmtId="0" fontId="0" fillId="25" borderId="0" xfId="0" applyFill="1" applyAlignment="1"/>
    <xf numFmtId="0" fontId="20" fillId="34" borderId="0" xfId="0" applyFont="1" applyFill="1" applyAlignment="1">
      <alignment horizontal="center"/>
    </xf>
    <xf numFmtId="0" fontId="0" fillId="34" borderId="0" xfId="0" applyFill="1" applyAlignment="1"/>
    <xf numFmtId="0" fontId="43" fillId="32" borderId="0" xfId="0" applyFont="1" applyFill="1" applyAlignment="1">
      <alignment horizontal="right"/>
    </xf>
    <xf numFmtId="0" fontId="20" fillId="0" borderId="0" xfId="0" applyFont="1" applyAlignment="1">
      <alignment horizontal="right"/>
    </xf>
    <xf numFmtId="178" fontId="37" fillId="0" borderId="0" xfId="0" applyNumberFormat="1" applyFont="1" applyAlignment="1"/>
    <xf numFmtId="0" fontId="37" fillId="0" borderId="0" xfId="0" applyFont="1" applyAlignment="1"/>
    <xf numFmtId="0" fontId="0" fillId="0" borderId="0" xfId="0" applyAlignment="1"/>
    <xf numFmtId="0" fontId="0" fillId="0" borderId="39" xfId="0" applyBorder="1" applyAlignment="1"/>
    <xf numFmtId="0" fontId="20" fillId="37" borderId="0" xfId="0" applyFont="1" applyFill="1" applyAlignment="1">
      <alignment horizontal="center"/>
    </xf>
    <xf numFmtId="0" fontId="20" fillId="25" borderId="0" xfId="0" applyFont="1" applyFill="1" applyAlignment="1">
      <alignment horizontal="center" vertical="center"/>
    </xf>
    <xf numFmtId="0" fontId="0" fillId="51" borderId="0" xfId="0" applyFill="1" applyAlignment="1">
      <alignment horizontal="center" vertical="center"/>
    </xf>
    <xf numFmtId="0" fontId="0" fillId="51" borderId="0" xfId="0" applyFill="1" applyAlignment="1"/>
    <xf numFmtId="0" fontId="9" fillId="22" borderId="0" xfId="32" applyAlignment="1">
      <alignment horizontal="center"/>
    </xf>
    <xf numFmtId="0" fontId="0" fillId="31" borderId="0" xfId="0" applyFill="1" applyAlignment="1">
      <alignment horizontal="center" vertical="center"/>
    </xf>
    <xf numFmtId="0" fontId="0" fillId="31" borderId="0" xfId="0" applyFill="1" applyAlignment="1"/>
    <xf numFmtId="0" fontId="0" fillId="29" borderId="0" xfId="0" applyFill="1" applyAlignment="1">
      <alignment horizontal="center" vertical="center"/>
    </xf>
    <xf numFmtId="0" fontId="0" fillId="29" borderId="0" xfId="0" applyFill="1" applyAlignment="1"/>
    <xf numFmtId="0" fontId="0" fillId="85" borderId="0" xfId="0" applyFill="1" applyAlignment="1">
      <alignment horizontal="center" vertical="center"/>
    </xf>
    <xf numFmtId="0" fontId="0" fillId="85" borderId="0" xfId="0" applyFill="1" applyAlignment="1"/>
    <xf numFmtId="0" fontId="0" fillId="91" borderId="0" xfId="0" applyFill="1" applyAlignment="1">
      <alignment horizontal="center"/>
    </xf>
    <xf numFmtId="0" fontId="0" fillId="32" borderId="0" xfId="0" applyFill="1" applyAlignment="1">
      <alignment horizontal="center"/>
    </xf>
    <xf numFmtId="0" fontId="0" fillId="28" borderId="0" xfId="0" applyFill="1" applyAlignment="1">
      <alignment horizontal="center"/>
    </xf>
    <xf numFmtId="0" fontId="0" fillId="30" borderId="0" xfId="0" applyFill="1" applyAlignment="1">
      <alignment horizontal="center"/>
    </xf>
    <xf numFmtId="0" fontId="0" fillId="30" borderId="0" xfId="0" applyFill="1" applyAlignment="1"/>
    <xf numFmtId="0" fontId="35" fillId="27" borderId="0" xfId="0" applyFont="1" applyFill="1" applyAlignment="1">
      <alignment horizontal="center"/>
    </xf>
    <xf numFmtId="0" fontId="0" fillId="25" borderId="0" xfId="0" applyFill="1" applyAlignment="1">
      <alignment horizontal="center"/>
    </xf>
    <xf numFmtId="0" fontId="0" fillId="28" borderId="0" xfId="0" applyFill="1" applyAlignment="1">
      <alignment horizontal="center" vertical="center"/>
    </xf>
    <xf numFmtId="0" fontId="0" fillId="28" borderId="0" xfId="0" applyFill="1" applyAlignment="1">
      <alignment vertical="center"/>
    </xf>
    <xf numFmtId="0" fontId="0" fillId="31" borderId="0" xfId="0" applyFill="1" applyAlignment="1">
      <alignment horizontal="center"/>
    </xf>
    <xf numFmtId="0" fontId="0" fillId="0" borderId="0" xfId="0" applyAlignment="1">
      <alignment horizontal="center"/>
    </xf>
    <xf numFmtId="0" fontId="20" fillId="28" borderId="0" xfId="0" applyFont="1" applyFill="1" applyAlignment="1">
      <alignment horizontal="center" vertical="center"/>
    </xf>
    <xf numFmtId="0" fontId="20" fillId="37" borderId="0" xfId="0" applyFont="1" applyFill="1" applyAlignment="1">
      <alignment horizontal="center" vertical="center"/>
    </xf>
    <xf numFmtId="0" fontId="0" fillId="0" borderId="0" xfId="0" applyAlignment="1">
      <alignment vertical="center"/>
    </xf>
    <xf numFmtId="0" fontId="20" fillId="27" borderId="0" xfId="0" applyFont="1" applyFill="1" applyAlignment="1">
      <alignment horizontal="center"/>
    </xf>
    <xf numFmtId="0" fontId="0" fillId="33" borderId="0" xfId="0" applyFill="1" applyAlignment="1">
      <alignment horizontal="center"/>
    </xf>
    <xf numFmtId="0" fontId="20" fillId="35" borderId="0" xfId="0" applyFont="1" applyFill="1" applyAlignment="1">
      <alignment horizontal="center"/>
    </xf>
    <xf numFmtId="0" fontId="20" fillId="49" borderId="0" xfId="0" applyFont="1" applyFill="1" applyAlignment="1">
      <alignment horizontal="center"/>
    </xf>
    <xf numFmtId="0" fontId="20" fillId="0" borderId="0" xfId="0" applyFont="1" applyAlignment="1">
      <alignment horizontal="center"/>
    </xf>
    <xf numFmtId="0" fontId="20" fillId="28" borderId="0" xfId="0" applyFont="1" applyFill="1" applyAlignment="1">
      <alignment horizontal="center"/>
    </xf>
    <xf numFmtId="0" fontId="0" fillId="37" borderId="0" xfId="0" applyFill="1" applyAlignment="1">
      <alignment horizontal="center"/>
    </xf>
    <xf numFmtId="0" fontId="0" fillId="28" borderId="33" xfId="0" applyFill="1" applyBorder="1" applyAlignment="1"/>
    <xf numFmtId="0" fontId="26" fillId="28" borderId="33" xfId="0" applyFont="1" applyFill="1" applyBorder="1" applyAlignment="1"/>
    <xf numFmtId="174" fontId="0" fillId="0" borderId="0" xfId="0" applyNumberFormat="1" applyAlignment="1">
      <alignment horizontal="center"/>
    </xf>
    <xf numFmtId="0" fontId="0" fillId="46" borderId="0" xfId="0" applyFill="1" applyBorder="1" applyAlignment="1"/>
    <xf numFmtId="0" fontId="0" fillId="0" borderId="0" xfId="0" applyBorder="1" applyAlignment="1"/>
    <xf numFmtId="0" fontId="58" fillId="47" borderId="0" xfId="0" applyFont="1" applyFill="1" applyAlignment="1">
      <alignment horizontal="center"/>
    </xf>
    <xf numFmtId="0" fontId="58" fillId="47" borderId="0" xfId="0" applyFont="1" applyFill="1" applyAlignment="1"/>
    <xf numFmtId="0" fontId="0" fillId="28" borderId="0" xfId="0" applyFill="1" applyAlignment="1"/>
    <xf numFmtId="0" fontId="24" fillId="0" borderId="0" xfId="0" applyFont="1" applyBorder="1" applyAlignment="1">
      <alignment horizontal="center"/>
    </xf>
    <xf numFmtId="0" fontId="23" fillId="46" borderId="41" xfId="0" applyFont="1" applyFill="1" applyBorder="1" applyAlignment="1">
      <alignment horizontal="left"/>
    </xf>
    <xf numFmtId="0" fontId="0" fillId="0" borderId="41" xfId="0" applyBorder="1" applyAlignment="1"/>
    <xf numFmtId="0" fontId="0" fillId="0" borderId="36" xfId="0" applyBorder="1" applyAlignment="1">
      <alignment horizontal="left" vertical="center" wrapText="1"/>
    </xf>
    <xf numFmtId="0" fontId="0" fillId="0" borderId="36" xfId="0" applyBorder="1" applyAlignment="1">
      <alignment horizontal="left" vertical="center"/>
    </xf>
    <xf numFmtId="0" fontId="0" fillId="0" borderId="36" xfId="0" applyBorder="1" applyAlignment="1"/>
    <xf numFmtId="0" fontId="52" fillId="35" borderId="32" xfId="0" applyFont="1" applyFill="1" applyBorder="1" applyAlignment="1">
      <alignment horizontal="center" vertical="center"/>
    </xf>
    <xf numFmtId="0" fontId="52" fillId="35" borderId="33" xfId="0" applyFont="1" applyFill="1" applyBorder="1" applyAlignment="1">
      <alignment horizontal="center" vertical="center"/>
    </xf>
    <xf numFmtId="0" fontId="0" fillId="35" borderId="33" xfId="0" applyFill="1" applyBorder="1" applyAlignment="1">
      <alignment horizontal="center" vertical="center"/>
    </xf>
    <xf numFmtId="0" fontId="0" fillId="35" borderId="34" xfId="0" applyFill="1" applyBorder="1" applyAlignment="1">
      <alignment horizontal="center" vertical="center"/>
    </xf>
    <xf numFmtId="0" fontId="58" fillId="39" borderId="0" xfId="0" applyFont="1" applyFill="1" applyAlignment="1">
      <alignment horizontal="center"/>
    </xf>
    <xf numFmtId="0" fontId="58" fillId="39" borderId="0" xfId="0" applyFont="1" applyFill="1" applyAlignment="1"/>
    <xf numFmtId="0" fontId="58" fillId="29" borderId="0" xfId="0" applyFont="1" applyFill="1" applyAlignment="1">
      <alignment horizontal="center"/>
    </xf>
    <xf numFmtId="0" fontId="58" fillId="29" borderId="0" xfId="0" applyFont="1" applyFill="1" applyAlignment="1"/>
    <xf numFmtId="0" fontId="0" fillId="39" borderId="38" xfId="0" applyFill="1" applyBorder="1" applyAlignment="1"/>
    <xf numFmtId="0" fontId="0" fillId="39" borderId="0" xfId="0" applyFill="1" applyBorder="1" applyAlignment="1"/>
    <xf numFmtId="0" fontId="0" fillId="29" borderId="38" xfId="0" applyFill="1" applyBorder="1" applyAlignment="1"/>
    <xf numFmtId="0" fontId="0" fillId="29" borderId="0" xfId="0" applyFill="1" applyBorder="1" applyAlignment="1"/>
    <xf numFmtId="0" fontId="0" fillId="32" borderId="38" xfId="0" applyFill="1" applyBorder="1" applyAlignment="1"/>
    <xf numFmtId="0" fontId="0" fillId="32" borderId="0" xfId="0" applyFill="1" applyBorder="1" applyAlignment="1"/>
    <xf numFmtId="0" fontId="0" fillId="47" borderId="38" xfId="0" applyFill="1" applyBorder="1" applyAlignment="1"/>
    <xf numFmtId="0" fontId="0" fillId="47" borderId="0" xfId="0" applyFill="1" applyBorder="1" applyAlignment="1"/>
    <xf numFmtId="0" fontId="0" fillId="28" borderId="40" xfId="0" applyFill="1" applyBorder="1" applyAlignment="1"/>
    <xf numFmtId="0" fontId="0" fillId="28" borderId="41" xfId="0" applyFill="1" applyBorder="1" applyAlignment="1"/>
    <xf numFmtId="0" fontId="32" fillId="0" borderId="36" xfId="0" applyFont="1" applyBorder="1" applyAlignment="1"/>
    <xf numFmtId="0" fontId="58" fillId="32" borderId="0" xfId="0" applyFont="1" applyFill="1" applyAlignment="1">
      <alignment horizontal="center"/>
    </xf>
    <xf numFmtId="0" fontId="58" fillId="32" borderId="0" xfId="0" applyFont="1" applyFill="1" applyAlignment="1"/>
    <xf numFmtId="0" fontId="0" fillId="0" borderId="32" xfId="0" applyBorder="1" applyAlignment="1">
      <alignment horizontal="center" vertical="center"/>
    </xf>
    <xf numFmtId="0" fontId="0" fillId="0" borderId="33" xfId="0" applyBorder="1" applyAlignment="1"/>
    <xf numFmtId="0" fontId="0" fillId="0" borderId="34" xfId="0" applyBorder="1" applyAlignment="1"/>
    <xf numFmtId="0" fontId="20" fillId="28" borderId="56" xfId="0" applyFont="1" applyFill="1" applyBorder="1" applyAlignment="1">
      <alignment horizontal="center"/>
    </xf>
    <xf numFmtId="0" fontId="0" fillId="0" borderId="56" xfId="0" applyFont="1" applyBorder="1" applyAlignment="1"/>
    <xf numFmtId="3" fontId="23" fillId="0" borderId="32" xfId="0" applyNumberFormat="1" applyFont="1" applyBorder="1" applyAlignment="1">
      <alignment horizontal="left"/>
    </xf>
    <xf numFmtId="0" fontId="20" fillId="0" borderId="41" xfId="0" applyFont="1" applyFill="1" applyBorder="1" applyAlignment="1">
      <alignment horizontal="center"/>
    </xf>
    <xf numFmtId="0" fontId="0" fillId="0" borderId="41" xfId="0" applyBorder="1" applyAlignment="1">
      <alignment horizontal="center"/>
    </xf>
    <xf numFmtId="0" fontId="0" fillId="0" borderId="0" xfId="0" applyBorder="1" applyAlignment="1">
      <alignment horizontal="right"/>
    </xf>
    <xf numFmtId="0" fontId="0" fillId="0" borderId="0" xfId="0" applyAlignment="1">
      <alignment horizontal="right"/>
    </xf>
    <xf numFmtId="0" fontId="39" fillId="46" borderId="41" xfId="0" applyFont="1" applyFill="1" applyBorder="1" applyAlignment="1">
      <alignment horizontal="center"/>
    </xf>
    <xf numFmtId="0" fontId="0" fillId="0" borderId="0" xfId="0" applyBorder="1" applyAlignment="1">
      <alignment horizontal="center"/>
    </xf>
    <xf numFmtId="0" fontId="26" fillId="0" borderId="0" xfId="0" applyFont="1" applyBorder="1" applyAlignment="1"/>
    <xf numFmtId="0" fontId="26" fillId="0" borderId="0" xfId="0" applyFont="1" applyAlignment="1"/>
    <xf numFmtId="0" fontId="52" fillId="51" borderId="32" xfId="0" applyFont="1" applyFill="1" applyBorder="1" applyAlignment="1">
      <alignment horizontal="center" vertical="center"/>
    </xf>
    <xf numFmtId="0" fontId="52" fillId="51" borderId="33" xfId="0" applyFont="1" applyFill="1" applyBorder="1" applyAlignment="1">
      <alignment horizontal="center" vertical="center"/>
    </xf>
    <xf numFmtId="0" fontId="0" fillId="51" borderId="33" xfId="0" applyFill="1" applyBorder="1" applyAlignment="1">
      <alignment horizontal="center" vertical="center"/>
    </xf>
    <xf numFmtId="0" fontId="0" fillId="51" borderId="34" xfId="0" applyFill="1" applyBorder="1" applyAlignment="1">
      <alignment horizontal="center" vertical="center"/>
    </xf>
    <xf numFmtId="0" fontId="32" fillId="0" borderId="36" xfId="0" applyFont="1" applyBorder="1" applyAlignment="1">
      <alignment wrapText="1"/>
    </xf>
    <xf numFmtId="0" fontId="0" fillId="0" borderId="0" xfId="0" applyFill="1" applyBorder="1" applyAlignment="1"/>
    <xf numFmtId="0" fontId="53" fillId="0" borderId="41" xfId="0" applyFont="1" applyFill="1" applyBorder="1" applyAlignment="1">
      <alignment horizontal="left"/>
    </xf>
    <xf numFmtId="0" fontId="20" fillId="0" borderId="41" xfId="0" applyFont="1" applyFill="1" applyBorder="1" applyAlignment="1"/>
    <xf numFmtId="186" fontId="24" fillId="46" borderId="41" xfId="0" applyNumberFormat="1" applyFont="1" applyFill="1" applyBorder="1" applyAlignment="1">
      <alignment horizontal="center"/>
    </xf>
    <xf numFmtId="186" fontId="24" fillId="0" borderId="41" xfId="0" applyNumberFormat="1" applyFont="1" applyBorder="1" applyAlignment="1">
      <alignment horizontal="center"/>
    </xf>
    <xf numFmtId="0" fontId="50" fillId="0" borderId="0" xfId="0" applyFont="1" applyFill="1" applyBorder="1" applyAlignment="1"/>
    <xf numFmtId="0" fontId="50" fillId="0" borderId="0" xfId="0" applyFont="1" applyFill="1" applyAlignment="1"/>
    <xf numFmtId="14" fontId="50" fillId="0" borderId="0" xfId="0" applyNumberFormat="1" applyFont="1" applyFill="1" applyBorder="1" applyAlignment="1"/>
    <xf numFmtId="0" fontId="0" fillId="0" borderId="0" xfId="0" applyAlignment="1">
      <alignment horizontal="left"/>
    </xf>
    <xf numFmtId="0" fontId="20" fillId="0" borderId="36" xfId="0" applyFont="1" applyBorder="1" applyAlignment="1">
      <alignment horizontal="center"/>
    </xf>
    <xf numFmtId="0" fontId="0" fillId="0" borderId="36" xfId="0" applyBorder="1" applyAlignment="1">
      <alignment horizontal="center"/>
    </xf>
    <xf numFmtId="0" fontId="0" fillId="47" borderId="36" xfId="0" applyFill="1" applyBorder="1" applyAlignment="1"/>
    <xf numFmtId="14" fontId="0" fillId="95" borderId="41" xfId="0" applyNumberFormat="1" applyFill="1" applyBorder="1" applyAlignment="1"/>
    <xf numFmtId="0" fontId="24" fillId="0" borderId="0" xfId="0" applyFont="1" applyFill="1" applyBorder="1" applyAlignment="1">
      <alignment horizontal="center"/>
    </xf>
    <xf numFmtId="0" fontId="0" fillId="0" borderId="0" xfId="0" applyFill="1" applyAlignment="1">
      <alignment horizontal="center"/>
    </xf>
    <xf numFmtId="14" fontId="0" fillId="47" borderId="36" xfId="0" applyNumberFormat="1" applyFill="1" applyBorder="1" applyAlignment="1"/>
    <xf numFmtId="0" fontId="0" fillId="51" borderId="0" xfId="0" applyFill="1" applyAlignment="1">
      <alignment horizontal="center"/>
    </xf>
    <xf numFmtId="0" fontId="0" fillId="50" borderId="0" xfId="0" applyFill="1" applyAlignment="1">
      <alignment horizontal="center"/>
    </xf>
    <xf numFmtId="0" fontId="39" fillId="46" borderId="36" xfId="0" applyFont="1" applyFill="1" applyBorder="1" applyAlignment="1">
      <alignment horizontal="center"/>
    </xf>
    <xf numFmtId="0" fontId="20" fillId="52" borderId="0" xfId="0" applyFont="1" applyFill="1" applyBorder="1" applyAlignment="1">
      <alignment horizontal="center"/>
    </xf>
    <xf numFmtId="0" fontId="0" fillId="47" borderId="41" xfId="0" applyFill="1" applyBorder="1" applyAlignment="1"/>
    <xf numFmtId="0" fontId="52" fillId="0" borderId="32" xfId="0" applyFont="1" applyBorder="1" applyAlignment="1">
      <alignment horizontal="center" vertical="center"/>
    </xf>
    <xf numFmtId="0" fontId="52" fillId="0" borderId="33" xfId="0" applyFont="1" applyBorder="1" applyAlignment="1">
      <alignment horizontal="center" vertical="center"/>
    </xf>
    <xf numFmtId="0" fontId="0" fillId="0" borderId="33" xfId="0" applyBorder="1" applyAlignment="1">
      <alignment horizontal="center" vertical="center"/>
    </xf>
    <xf numFmtId="0" fontId="0" fillId="0" borderId="34" xfId="0" applyBorder="1" applyAlignment="1">
      <alignment horizontal="center" vertical="center"/>
    </xf>
    <xf numFmtId="0" fontId="54" fillId="42" borderId="25" xfId="0" applyFont="1" applyFill="1" applyBorder="1" applyAlignment="1">
      <alignment horizontal="center"/>
    </xf>
    <xf numFmtId="0" fontId="0" fillId="42" borderId="25" xfId="0" applyFill="1" applyBorder="1" applyAlignment="1">
      <alignment horizontal="center"/>
    </xf>
    <xf numFmtId="0" fontId="0" fillId="0" borderId="0" xfId="0" applyFont="1" applyBorder="1" applyAlignment="1">
      <alignment wrapText="1"/>
    </xf>
    <xf numFmtId="0" fontId="0" fillId="0" borderId="0" xfId="0" applyFont="1" applyAlignment="1"/>
    <xf numFmtId="0" fontId="20" fillId="0" borderId="0" xfId="0" applyFont="1" applyBorder="1" applyAlignment="1">
      <alignment horizontal="center"/>
    </xf>
    <xf numFmtId="0" fontId="0" fillId="0" borderId="28" xfId="0" applyBorder="1" applyAlignment="1"/>
    <xf numFmtId="174" fontId="0" fillId="0" borderId="0" xfId="0" applyNumberFormat="1" applyBorder="1" applyAlignment="1">
      <alignment horizontal="left"/>
    </xf>
    <xf numFmtId="0" fontId="0" fillId="0" borderId="13" xfId="0" applyBorder="1" applyAlignment="1">
      <alignment horizontal="right"/>
    </xf>
    <xf numFmtId="0" fontId="21" fillId="0" borderId="13" xfId="0" applyFont="1" applyBorder="1" applyAlignment="1">
      <alignment horizontal="left" vertical="center"/>
    </xf>
    <xf numFmtId="0" fontId="30" fillId="0" borderId="19" xfId="0" applyFont="1" applyBorder="1" applyAlignment="1">
      <alignment horizontal="center" vertical="center"/>
    </xf>
    <xf numFmtId="171" fontId="31" fillId="20" borderId="0" xfId="0" applyNumberFormat="1" applyFont="1" applyFill="1" applyBorder="1" applyAlignment="1">
      <alignment horizontal="center" vertical="center"/>
    </xf>
    <xf numFmtId="0" fontId="0" fillId="0" borderId="0" xfId="0" applyAlignment="1">
      <alignment vertical="center" wrapText="1"/>
    </xf>
    <xf numFmtId="0" fontId="21" fillId="0" borderId="0" xfId="0" applyFont="1" applyBorder="1" applyAlignment="1">
      <alignment vertical="center" wrapText="1"/>
    </xf>
    <xf numFmtId="0" fontId="29" fillId="0" borderId="0" xfId="0" applyFont="1" applyBorder="1" applyAlignment="1">
      <alignment vertical="center" wrapText="1"/>
    </xf>
    <xf numFmtId="0" fontId="22" fillId="0" borderId="13" xfId="0" applyFont="1" applyBorder="1" applyAlignment="1">
      <alignment horizontal="right" vertical="center"/>
    </xf>
    <xf numFmtId="174" fontId="0" fillId="0" borderId="0" xfId="0" applyNumberFormat="1" applyBorder="1" applyAlignment="1">
      <alignment horizontal="center"/>
    </xf>
    <xf numFmtId="0" fontId="21" fillId="6" borderId="0" xfId="0" applyFont="1" applyFill="1" applyBorder="1" applyAlignment="1">
      <alignment vertical="center"/>
    </xf>
    <xf numFmtId="0" fontId="22" fillId="6" borderId="0" xfId="0" applyFont="1" applyFill="1" applyBorder="1" applyAlignment="1">
      <alignment vertical="center"/>
    </xf>
    <xf numFmtId="0" fontId="0" fillId="6" borderId="0" xfId="0" applyFont="1" applyFill="1" applyBorder="1" applyAlignment="1"/>
    <xf numFmtId="0" fontId="23" fillId="6" borderId="0" xfId="0" applyFont="1" applyFill="1" applyBorder="1" applyAlignment="1"/>
    <xf numFmtId="0" fontId="22" fillId="6" borderId="0" xfId="0" applyFont="1" applyFill="1" applyBorder="1" applyAlignment="1">
      <alignment horizontal="left" vertical="center"/>
    </xf>
    <xf numFmtId="0" fontId="0" fillId="39" borderId="0" xfId="0" applyFill="1" applyAlignment="1">
      <alignment horizontal="center"/>
    </xf>
    <xf numFmtId="0" fontId="20" fillId="4" borderId="0" xfId="0" applyFont="1" applyFill="1" applyBorder="1" applyAlignment="1">
      <alignment horizontal="center" vertical="center"/>
    </xf>
    <xf numFmtId="0" fontId="20" fillId="11" borderId="0" xfId="0" applyFont="1" applyFill="1" applyBorder="1" applyAlignment="1">
      <alignment horizontal="center" vertical="center"/>
    </xf>
    <xf numFmtId="0" fontId="0" fillId="24" borderId="0" xfId="0" applyFont="1" applyFill="1" applyBorder="1" applyAlignment="1">
      <alignment horizontal="center" vertical="center"/>
    </xf>
    <xf numFmtId="0" fontId="0" fillId="40" borderId="0" xfId="0" applyFont="1" applyFill="1" applyBorder="1" applyAlignment="1">
      <alignment horizontal="center" vertical="center"/>
    </xf>
    <xf numFmtId="0" fontId="0" fillId="40" borderId="0" xfId="0" applyFill="1" applyAlignment="1">
      <alignment horizontal="center" vertical="center"/>
    </xf>
    <xf numFmtId="0" fontId="0" fillId="90" borderId="0" xfId="0"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wrapText="1"/>
    </xf>
    <xf numFmtId="0" fontId="21" fillId="0" borderId="0" xfId="0" applyFont="1" applyAlignment="1">
      <alignment horizontal="right" vertical="center"/>
    </xf>
    <xf numFmtId="0" fontId="30" fillId="0" borderId="0" xfId="0" applyFont="1" applyBorder="1" applyAlignment="1">
      <alignment horizontal="center" vertical="center"/>
    </xf>
    <xf numFmtId="172" fontId="0" fillId="0" borderId="0" xfId="0" applyNumberFormat="1" applyBorder="1" applyAlignment="1">
      <alignment horizontal="center"/>
    </xf>
    <xf numFmtId="174" fontId="23" fillId="0" borderId="0" xfId="0" applyNumberFormat="1" applyFont="1" applyBorder="1" applyAlignment="1">
      <alignment horizontal="center"/>
    </xf>
    <xf numFmtId="174" fontId="0" fillId="0" borderId="0" xfId="0" applyNumberFormat="1" applyFont="1" applyBorder="1" applyAlignment="1">
      <alignment horizontal="center"/>
    </xf>
    <xf numFmtId="0" fontId="21" fillId="0" borderId="0" xfId="0" applyFont="1" applyFill="1" applyBorder="1" applyAlignment="1">
      <alignment horizontal="right" vertical="center"/>
    </xf>
    <xf numFmtId="173" fontId="0" fillId="0" borderId="0" xfId="0" applyNumberFormat="1" applyFill="1" applyBorder="1" applyAlignment="1">
      <alignment horizontal="center"/>
    </xf>
    <xf numFmtId="179" fontId="33" fillId="20" borderId="0" xfId="0" applyNumberFormat="1" applyFont="1" applyFill="1" applyBorder="1" applyAlignment="1">
      <alignment horizontal="center" vertical="center"/>
    </xf>
    <xf numFmtId="0" fontId="0" fillId="0" borderId="0" xfId="0" applyFont="1" applyFill="1" applyBorder="1" applyAlignment="1">
      <alignment vertical="center" wrapText="1"/>
    </xf>
    <xf numFmtId="0" fontId="21" fillId="0" borderId="0" xfId="0" applyFont="1" applyFill="1" applyBorder="1" applyAlignment="1">
      <alignment horizontal="left" vertical="center"/>
    </xf>
    <xf numFmtId="0" fontId="36" fillId="0" borderId="0" xfId="44" applyProtection="1">
      <protection locked="0"/>
    </xf>
    <xf numFmtId="0" fontId="36" fillId="38" borderId="0" xfId="44" applyFill="1" applyAlignment="1" applyProtection="1">
      <alignment horizontal="center"/>
    </xf>
  </cellXfs>
  <cellStyles count="549">
    <cellStyle name="20 % - Accent1" xfId="1" builtinId="30" customBuiltin="1"/>
    <cellStyle name="20 % - Accent1 10" xfId="392"/>
    <cellStyle name="20 % - Accent1 11" xfId="407"/>
    <cellStyle name="20 % - Accent1 12" xfId="69"/>
    <cellStyle name="20 % - Accent1 2" xfId="143"/>
    <cellStyle name="20 % - Accent1 2 2" xfId="277"/>
    <cellStyle name="20 % - Accent1 3" xfId="217"/>
    <cellStyle name="20 % - Accent1 4" xfId="232"/>
    <cellStyle name="20 % - Accent1 5" xfId="247"/>
    <cellStyle name="20 % - Accent1 6" xfId="332"/>
    <cellStyle name="20 % - Accent1 7" xfId="347"/>
    <cellStyle name="20 % - Accent1 8" xfId="362"/>
    <cellStyle name="20 % - Accent1 9" xfId="377"/>
    <cellStyle name="20 % - Accent2" xfId="2" builtinId="34" customBuiltin="1"/>
    <cellStyle name="20 % - Accent2 10" xfId="394"/>
    <cellStyle name="20 % - Accent2 11" xfId="409"/>
    <cellStyle name="20 % - Accent2 12" xfId="73"/>
    <cellStyle name="20 % - Accent2 2" xfId="147"/>
    <cellStyle name="20 % - Accent2 2 2" xfId="281"/>
    <cellStyle name="20 % - Accent2 3" xfId="219"/>
    <cellStyle name="20 % - Accent2 4" xfId="234"/>
    <cellStyle name="20 % - Accent2 5" xfId="249"/>
    <cellStyle name="20 % - Accent2 6" xfId="334"/>
    <cellStyle name="20 % - Accent2 7" xfId="349"/>
    <cellStyle name="20 % - Accent2 8" xfId="364"/>
    <cellStyle name="20 % - Accent2 9" xfId="379"/>
    <cellStyle name="20 % - Accent3" xfId="3" builtinId="38" customBuiltin="1"/>
    <cellStyle name="20 % - Accent3 10" xfId="396"/>
    <cellStyle name="20 % - Accent3 11" xfId="411"/>
    <cellStyle name="20 % - Accent3 12" xfId="77"/>
    <cellStyle name="20 % - Accent3 2" xfId="151"/>
    <cellStyle name="20 % - Accent3 2 2" xfId="285"/>
    <cellStyle name="20 % - Accent3 3" xfId="221"/>
    <cellStyle name="20 % - Accent3 4" xfId="236"/>
    <cellStyle name="20 % - Accent3 5" xfId="251"/>
    <cellStyle name="20 % - Accent3 6" xfId="336"/>
    <cellStyle name="20 % - Accent3 7" xfId="351"/>
    <cellStyle name="20 % - Accent3 8" xfId="366"/>
    <cellStyle name="20 % - Accent3 9" xfId="381"/>
    <cellStyle name="20 % - Accent4" xfId="4" builtinId="42" customBuiltin="1"/>
    <cellStyle name="20 % - Accent4 10" xfId="398"/>
    <cellStyle name="20 % - Accent4 11" xfId="413"/>
    <cellStyle name="20 % - Accent4 12" xfId="81"/>
    <cellStyle name="20 % - Accent4 2" xfId="155"/>
    <cellStyle name="20 % - Accent4 2 2" xfId="289"/>
    <cellStyle name="20 % - Accent4 3" xfId="223"/>
    <cellStyle name="20 % - Accent4 4" xfId="238"/>
    <cellStyle name="20 % - Accent4 5" xfId="253"/>
    <cellStyle name="20 % - Accent4 6" xfId="338"/>
    <cellStyle name="20 % - Accent4 7" xfId="353"/>
    <cellStyle name="20 % - Accent4 8" xfId="368"/>
    <cellStyle name="20 % - Accent4 9" xfId="383"/>
    <cellStyle name="20 % - Accent5" xfId="5" builtinId="46" customBuiltin="1"/>
    <cellStyle name="20 % - Accent5 10" xfId="400"/>
    <cellStyle name="20 % - Accent5 11" xfId="415"/>
    <cellStyle name="20 % - Accent5 12" xfId="85"/>
    <cellStyle name="20 % - Accent5 2" xfId="159"/>
    <cellStyle name="20 % - Accent5 2 2" xfId="293"/>
    <cellStyle name="20 % - Accent5 3" xfId="225"/>
    <cellStyle name="20 % - Accent5 4" xfId="240"/>
    <cellStyle name="20 % - Accent5 5" xfId="255"/>
    <cellStyle name="20 % - Accent5 6" xfId="340"/>
    <cellStyle name="20 % - Accent5 7" xfId="355"/>
    <cellStyle name="20 % - Accent5 8" xfId="370"/>
    <cellStyle name="20 % - Accent5 9" xfId="385"/>
    <cellStyle name="20 % - Accent6" xfId="6" builtinId="50" customBuiltin="1"/>
    <cellStyle name="20 % - Accent6 10" xfId="402"/>
    <cellStyle name="20 % - Accent6 11" xfId="417"/>
    <cellStyle name="20 % - Accent6 12" xfId="89"/>
    <cellStyle name="20 % - Accent6 2" xfId="163"/>
    <cellStyle name="20 % - Accent6 2 2" xfId="297"/>
    <cellStyle name="20 % - Accent6 3" xfId="227"/>
    <cellStyle name="20 % - Accent6 4" xfId="242"/>
    <cellStyle name="20 % - Accent6 5" xfId="257"/>
    <cellStyle name="20 % - Accent6 6" xfId="342"/>
    <cellStyle name="20 % - Accent6 7" xfId="357"/>
    <cellStyle name="20 % - Accent6 8" xfId="372"/>
    <cellStyle name="20 % - Accent6 9" xfId="387"/>
    <cellStyle name="40 % - Accent1" xfId="7" builtinId="31" customBuiltin="1"/>
    <cellStyle name="40 % - Accent1 10" xfId="393"/>
    <cellStyle name="40 % - Accent1 11" xfId="408"/>
    <cellStyle name="40 % - Accent1 12" xfId="70"/>
    <cellStyle name="40 % - Accent1 2" xfId="144"/>
    <cellStyle name="40 % - Accent1 2 2" xfId="278"/>
    <cellStyle name="40 % - Accent1 3" xfId="218"/>
    <cellStyle name="40 % - Accent1 4" xfId="233"/>
    <cellStyle name="40 % - Accent1 5" xfId="248"/>
    <cellStyle name="40 % - Accent1 6" xfId="333"/>
    <cellStyle name="40 % - Accent1 7" xfId="348"/>
    <cellStyle name="40 % - Accent1 8" xfId="363"/>
    <cellStyle name="40 % - Accent1 9" xfId="378"/>
    <cellStyle name="40 % - Accent2" xfId="8" builtinId="35" customBuiltin="1"/>
    <cellStyle name="40 % - Accent2 10" xfId="395"/>
    <cellStyle name="40 % - Accent2 11" xfId="410"/>
    <cellStyle name="40 % - Accent2 12" xfId="74"/>
    <cellStyle name="40 % - Accent2 2" xfId="148"/>
    <cellStyle name="40 % - Accent2 2 2" xfId="282"/>
    <cellStyle name="40 % - Accent2 3" xfId="220"/>
    <cellStyle name="40 % - Accent2 4" xfId="235"/>
    <cellStyle name="40 % - Accent2 5" xfId="250"/>
    <cellStyle name="40 % - Accent2 6" xfId="335"/>
    <cellStyle name="40 % - Accent2 7" xfId="350"/>
    <cellStyle name="40 % - Accent2 8" xfId="365"/>
    <cellStyle name="40 % - Accent2 9" xfId="380"/>
    <cellStyle name="40 % - Accent3" xfId="9" builtinId="39" customBuiltin="1"/>
    <cellStyle name="40 % - Accent3 10" xfId="397"/>
    <cellStyle name="40 % - Accent3 11" xfId="412"/>
    <cellStyle name="40 % - Accent3 12" xfId="78"/>
    <cellStyle name="40 % - Accent3 2" xfId="152"/>
    <cellStyle name="40 % - Accent3 2 2" xfId="286"/>
    <cellStyle name="40 % - Accent3 3" xfId="222"/>
    <cellStyle name="40 % - Accent3 4" xfId="237"/>
    <cellStyle name="40 % - Accent3 5" xfId="252"/>
    <cellStyle name="40 % - Accent3 6" xfId="337"/>
    <cellStyle name="40 % - Accent3 7" xfId="352"/>
    <cellStyle name="40 % - Accent3 8" xfId="367"/>
    <cellStyle name="40 % - Accent3 9" xfId="382"/>
    <cellStyle name="40 % - Accent4" xfId="10" builtinId="43" customBuiltin="1"/>
    <cellStyle name="40 % - Accent4 10" xfId="399"/>
    <cellStyle name="40 % - Accent4 11" xfId="414"/>
    <cellStyle name="40 % - Accent4 12" xfId="82"/>
    <cellStyle name="40 % - Accent4 2" xfId="156"/>
    <cellStyle name="40 % - Accent4 2 2" xfId="290"/>
    <cellStyle name="40 % - Accent4 3" xfId="224"/>
    <cellStyle name="40 % - Accent4 4" xfId="239"/>
    <cellStyle name="40 % - Accent4 5" xfId="254"/>
    <cellStyle name="40 % - Accent4 6" xfId="339"/>
    <cellStyle name="40 % - Accent4 7" xfId="354"/>
    <cellStyle name="40 % - Accent4 8" xfId="369"/>
    <cellStyle name="40 % - Accent4 9" xfId="384"/>
    <cellStyle name="40 % - Accent5" xfId="11" builtinId="47" customBuiltin="1"/>
    <cellStyle name="40 % - Accent5 10" xfId="401"/>
    <cellStyle name="40 % - Accent5 11" xfId="416"/>
    <cellStyle name="40 % - Accent5 12" xfId="86"/>
    <cellStyle name="40 % - Accent5 2" xfId="160"/>
    <cellStyle name="40 % - Accent5 2 2" xfId="294"/>
    <cellStyle name="40 % - Accent5 3" xfId="226"/>
    <cellStyle name="40 % - Accent5 4" xfId="241"/>
    <cellStyle name="40 % - Accent5 5" xfId="256"/>
    <cellStyle name="40 % - Accent5 6" xfId="341"/>
    <cellStyle name="40 % - Accent5 7" xfId="356"/>
    <cellStyle name="40 % - Accent5 8" xfId="371"/>
    <cellStyle name="40 % - Accent5 9" xfId="386"/>
    <cellStyle name="40 % - Accent6" xfId="12" builtinId="51" customBuiltin="1"/>
    <cellStyle name="40 % - Accent6 10" xfId="403"/>
    <cellStyle name="40 % - Accent6 11" xfId="418"/>
    <cellStyle name="40 % - Accent6 12" xfId="90"/>
    <cellStyle name="40 % - Accent6 2" xfId="164"/>
    <cellStyle name="40 % - Accent6 2 2" xfId="298"/>
    <cellStyle name="40 % - Accent6 3" xfId="228"/>
    <cellStyle name="40 % - Accent6 4" xfId="243"/>
    <cellStyle name="40 % - Accent6 5" xfId="258"/>
    <cellStyle name="40 % - Accent6 6" xfId="343"/>
    <cellStyle name="40 % - Accent6 7" xfId="358"/>
    <cellStyle name="40 % - Accent6 8" xfId="373"/>
    <cellStyle name="40 % - Accent6 9" xfId="388"/>
    <cellStyle name="60 % - Accent1" xfId="13" builtinId="32" customBuiltin="1"/>
    <cellStyle name="60 % - Accent1 2" xfId="145"/>
    <cellStyle name="60 % - Accent1 2 2" xfId="279"/>
    <cellStyle name="60 % - Accent1 3" xfId="71"/>
    <cellStyle name="60 % - Accent2" xfId="14" builtinId="36" customBuiltin="1"/>
    <cellStyle name="60 % - Accent2 2" xfId="149"/>
    <cellStyle name="60 % - Accent2 2 2" xfId="283"/>
    <cellStyle name="60 % - Accent2 3" xfId="75"/>
    <cellStyle name="60 % - Accent3" xfId="15" builtinId="40" customBuiltin="1"/>
    <cellStyle name="60 % - Accent3 2" xfId="153"/>
    <cellStyle name="60 % - Accent3 2 2" xfId="287"/>
    <cellStyle name="60 % - Accent3 3" xfId="79"/>
    <cellStyle name="60 % - Accent4" xfId="16" builtinId="44" customBuiltin="1"/>
    <cellStyle name="60 % - Accent4 2" xfId="157"/>
    <cellStyle name="60 % - Accent4 2 2" xfId="291"/>
    <cellStyle name="60 % - Accent4 3" xfId="83"/>
    <cellStyle name="60 % - Accent5" xfId="17" builtinId="48" customBuiltin="1"/>
    <cellStyle name="60 % - Accent5 2" xfId="161"/>
    <cellStyle name="60 % - Accent5 2 2" xfId="295"/>
    <cellStyle name="60 % - Accent5 3" xfId="87"/>
    <cellStyle name="60 % - Accent6" xfId="18" builtinId="52" customBuiltin="1"/>
    <cellStyle name="60 % - Accent6 2" xfId="165"/>
    <cellStyle name="60 % - Accent6 2 2" xfId="299"/>
    <cellStyle name="60 % - Accent6 3" xfId="91"/>
    <cellStyle name="Accent1" xfId="19" builtinId="29" customBuiltin="1"/>
    <cellStyle name="Accent1 2" xfId="142"/>
    <cellStyle name="Accent1 2 2" xfId="276"/>
    <cellStyle name="Accent1 3" xfId="68"/>
    <cellStyle name="Accent2" xfId="20" builtinId="33" customBuiltin="1"/>
    <cellStyle name="Accent2 2" xfId="146"/>
    <cellStyle name="Accent2 2 2" xfId="280"/>
    <cellStyle name="Accent2 3" xfId="72"/>
    <cellStyle name="Accent3" xfId="21" builtinId="37" customBuiltin="1"/>
    <cellStyle name="Accent3 2" xfId="150"/>
    <cellStyle name="Accent3 2 2" xfId="284"/>
    <cellStyle name="Accent3 3" xfId="76"/>
    <cellStyle name="Accent4" xfId="22" builtinId="41" customBuiltin="1"/>
    <cellStyle name="Accent4 2" xfId="154"/>
    <cellStyle name="Accent4 2 2" xfId="288"/>
    <cellStyle name="Accent4 3" xfId="80"/>
    <cellStyle name="Accent5" xfId="23" builtinId="45" customBuiltin="1"/>
    <cellStyle name="Accent5 2" xfId="158"/>
    <cellStyle name="Accent5 2 2" xfId="292"/>
    <cellStyle name="Accent5 3" xfId="84"/>
    <cellStyle name="Accent6" xfId="24" builtinId="49" customBuiltin="1"/>
    <cellStyle name="Accent6 2" xfId="162"/>
    <cellStyle name="Accent6 2 2" xfId="296"/>
    <cellStyle name="Accent6 3" xfId="88"/>
    <cellStyle name="Avertissement" xfId="25" builtinId="11" customBuiltin="1"/>
    <cellStyle name="Avertissement 2" xfId="138"/>
    <cellStyle name="Avertissement 2 2" xfId="273"/>
    <cellStyle name="Avertissement 3" xfId="64"/>
    <cellStyle name="Calcul" xfId="26" builtinId="22" customBuiltin="1"/>
    <cellStyle name="Calcul 2" xfId="135"/>
    <cellStyle name="Calcul 2 2" xfId="270"/>
    <cellStyle name="Calcul 3" xfId="61"/>
    <cellStyle name="Cellule liée" xfId="27" builtinId="24" customBuiltin="1"/>
    <cellStyle name="Cellule liée 2" xfId="136"/>
    <cellStyle name="Cellule liée 2 2" xfId="271"/>
    <cellStyle name="Cellule liée 3" xfId="62"/>
    <cellStyle name="Commentaire" xfId="28" builtinId="10" customBuiltin="1"/>
    <cellStyle name="Commentaire 10" xfId="391"/>
    <cellStyle name="Commentaire 11" xfId="406"/>
    <cellStyle name="Commentaire 12" xfId="65"/>
    <cellStyle name="Commentaire 2" xfId="139"/>
    <cellStyle name="Commentaire 3" xfId="216"/>
    <cellStyle name="Commentaire 4" xfId="231"/>
    <cellStyle name="Commentaire 5" xfId="246"/>
    <cellStyle name="Commentaire 6" xfId="331"/>
    <cellStyle name="Commentaire 7" xfId="346"/>
    <cellStyle name="Commentaire 8" xfId="361"/>
    <cellStyle name="Commentaire 9" xfId="376"/>
    <cellStyle name="DateHyperlink" xfId="94"/>
    <cellStyle name="DateHyperlink 10" xfId="121"/>
    <cellStyle name="DateHyperlink 10 2" xfId="326"/>
    <cellStyle name="DateHyperlink 10 2 2" xfId="529"/>
    <cellStyle name="DateHyperlink 10 3" xfId="441"/>
    <cellStyle name="DateHyperlink 11" xfId="123"/>
    <cellStyle name="DateHyperlink 11 2" xfId="328"/>
    <cellStyle name="DateHyperlink 11 2 2" xfId="531"/>
    <cellStyle name="DateHyperlink 11 3" xfId="443"/>
    <cellStyle name="DateHyperlink 12" xfId="125"/>
    <cellStyle name="DateHyperlink 12 2" xfId="330"/>
    <cellStyle name="DateHyperlink 12 2 2" xfId="533"/>
    <cellStyle name="DateHyperlink 12 3" xfId="445"/>
    <cellStyle name="DateHyperlink 13" xfId="127"/>
    <cellStyle name="DateHyperlink 13 2" xfId="447"/>
    <cellStyle name="DateHyperlink 14" xfId="129"/>
    <cellStyle name="DateHyperlink 14 2" xfId="449"/>
    <cellStyle name="DateHyperlink 15" xfId="167"/>
    <cellStyle name="DateHyperlink 15 2" xfId="451"/>
    <cellStyle name="DateHyperlink 16" xfId="170"/>
    <cellStyle name="DateHyperlink 16 2" xfId="453"/>
    <cellStyle name="DateHyperlink 17" xfId="172"/>
    <cellStyle name="DateHyperlink 17 2" xfId="455"/>
    <cellStyle name="DateHyperlink 18" xfId="174"/>
    <cellStyle name="DateHyperlink 18 2" xfId="457"/>
    <cellStyle name="DateHyperlink 19" xfId="176"/>
    <cellStyle name="DateHyperlink 19 2" xfId="459"/>
    <cellStyle name="DateHyperlink 2" xfId="96"/>
    <cellStyle name="DateHyperlink 2 2" xfId="304"/>
    <cellStyle name="DateHyperlink 2 2 2" xfId="513"/>
    <cellStyle name="DateHyperlink 2 3" xfId="424"/>
    <cellStyle name="DateHyperlink 20" xfId="178"/>
    <cellStyle name="DateHyperlink 20 2" xfId="461"/>
    <cellStyle name="DateHyperlink 21" xfId="180"/>
    <cellStyle name="DateHyperlink 21 2" xfId="463"/>
    <cellStyle name="DateHyperlink 22" xfId="182"/>
    <cellStyle name="DateHyperlink 22 2" xfId="465"/>
    <cellStyle name="DateHyperlink 23" xfId="185"/>
    <cellStyle name="DateHyperlink 23 2" xfId="467"/>
    <cellStyle name="DateHyperlink 24" xfId="187"/>
    <cellStyle name="DateHyperlink 24 2" xfId="469"/>
    <cellStyle name="DateHyperlink 25" xfId="189"/>
    <cellStyle name="DateHyperlink 25 2" xfId="471"/>
    <cellStyle name="DateHyperlink 26" xfId="191"/>
    <cellStyle name="DateHyperlink 26 2" xfId="473"/>
    <cellStyle name="DateHyperlink 27" xfId="193"/>
    <cellStyle name="DateHyperlink 27 2" xfId="475"/>
    <cellStyle name="DateHyperlink 28" xfId="195"/>
    <cellStyle name="DateHyperlink 28 2" xfId="477"/>
    <cellStyle name="DateHyperlink 29" xfId="197"/>
    <cellStyle name="DateHyperlink 29 2" xfId="479"/>
    <cellStyle name="DateHyperlink 3" xfId="99"/>
    <cellStyle name="DateHyperlink 3 2" xfId="307"/>
    <cellStyle name="DateHyperlink 3 2 2" xfId="515"/>
    <cellStyle name="DateHyperlink 3 3" xfId="426"/>
    <cellStyle name="DateHyperlink 30" xfId="199"/>
    <cellStyle name="DateHyperlink 30 2" xfId="481"/>
    <cellStyle name="DateHyperlink 31" xfId="201"/>
    <cellStyle name="DateHyperlink 31 2" xfId="483"/>
    <cellStyle name="DateHyperlink 32" xfId="203"/>
    <cellStyle name="DateHyperlink 32 2" xfId="485"/>
    <cellStyle name="DateHyperlink 33" xfId="205"/>
    <cellStyle name="DateHyperlink 33 2" xfId="487"/>
    <cellStyle name="DateHyperlink 34" xfId="207"/>
    <cellStyle name="DateHyperlink 34 2" xfId="489"/>
    <cellStyle name="DateHyperlink 35" xfId="209"/>
    <cellStyle name="DateHyperlink 35 2" xfId="491"/>
    <cellStyle name="DateHyperlink 36" xfId="211"/>
    <cellStyle name="DateHyperlink 36 2" xfId="493"/>
    <cellStyle name="DateHyperlink 37" xfId="213"/>
    <cellStyle name="DateHyperlink 37 2" xfId="495"/>
    <cellStyle name="DateHyperlink 38" xfId="215"/>
    <cellStyle name="DateHyperlink 38 2" xfId="497"/>
    <cellStyle name="DateHyperlink 39" xfId="230"/>
    <cellStyle name="DateHyperlink 39 2" xfId="499"/>
    <cellStyle name="DateHyperlink 4" xfId="104"/>
    <cellStyle name="DateHyperlink 4 2" xfId="310"/>
    <cellStyle name="DateHyperlink 4 2 2" xfId="517"/>
    <cellStyle name="DateHyperlink 4 3" xfId="429"/>
    <cellStyle name="DateHyperlink 40" xfId="245"/>
    <cellStyle name="DateHyperlink 40 2" xfId="501"/>
    <cellStyle name="DateHyperlink 41" xfId="260"/>
    <cellStyle name="DateHyperlink 41 2" xfId="503"/>
    <cellStyle name="DateHyperlink 42" xfId="262"/>
    <cellStyle name="DateHyperlink 42 2" xfId="505"/>
    <cellStyle name="DateHyperlink 43" xfId="264"/>
    <cellStyle name="DateHyperlink 43 2" xfId="507"/>
    <cellStyle name="DateHyperlink 44" xfId="266"/>
    <cellStyle name="DateHyperlink 44 2" xfId="509"/>
    <cellStyle name="DateHyperlink 45" xfId="302"/>
    <cellStyle name="DateHyperlink 45 2" xfId="511"/>
    <cellStyle name="DateHyperlink 46" xfId="345"/>
    <cellStyle name="DateHyperlink 46 2" xfId="535"/>
    <cellStyle name="DateHyperlink 47" xfId="360"/>
    <cellStyle name="DateHyperlink 47 2" xfId="537"/>
    <cellStyle name="DateHyperlink 48" xfId="375"/>
    <cellStyle name="DateHyperlink 48 2" xfId="539"/>
    <cellStyle name="DateHyperlink 49" xfId="390"/>
    <cellStyle name="DateHyperlink 49 2" xfId="541"/>
    <cellStyle name="DateHyperlink 5" xfId="107"/>
    <cellStyle name="DateHyperlink 5 2" xfId="313"/>
    <cellStyle name="DateHyperlink 5 2 2" xfId="519"/>
    <cellStyle name="DateHyperlink 5 3" xfId="431"/>
    <cellStyle name="DateHyperlink 50" xfId="405"/>
    <cellStyle name="DateHyperlink 50 2" xfId="543"/>
    <cellStyle name="DateHyperlink 51" xfId="420"/>
    <cellStyle name="DateHyperlink 51 2" xfId="545"/>
    <cellStyle name="DateHyperlink 52" xfId="422"/>
    <cellStyle name="DateHyperlink 6" xfId="110"/>
    <cellStyle name="DateHyperlink 6 2" xfId="316"/>
    <cellStyle name="DateHyperlink 6 2 2" xfId="521"/>
    <cellStyle name="DateHyperlink 6 3" xfId="433"/>
    <cellStyle name="DateHyperlink 7" xfId="113"/>
    <cellStyle name="DateHyperlink 7 2" xfId="318"/>
    <cellStyle name="DateHyperlink 7 2 2" xfId="523"/>
    <cellStyle name="DateHyperlink 7 3" xfId="435"/>
    <cellStyle name="DateHyperlink 8" xfId="116"/>
    <cellStyle name="DateHyperlink 8 2" xfId="321"/>
    <cellStyle name="DateHyperlink 8 2 2" xfId="525"/>
    <cellStyle name="DateHyperlink 8 3" xfId="437"/>
    <cellStyle name="DateHyperlink 9" xfId="118"/>
    <cellStyle name="DateHyperlink 9 2" xfId="323"/>
    <cellStyle name="DateHyperlink 9 2 2" xfId="527"/>
    <cellStyle name="DateHyperlink 9 3" xfId="439"/>
    <cellStyle name="Entrée" xfId="29" builtinId="20" customBuiltin="1"/>
    <cellStyle name="Entrée 2" xfId="133"/>
    <cellStyle name="Entrée 2 2" xfId="268"/>
    <cellStyle name="Entrée 3" xfId="59"/>
    <cellStyle name="Euro" xfId="30"/>
    <cellStyle name="Hyperlink" xfId="93"/>
    <cellStyle name="Hyperlink 10" xfId="120"/>
    <cellStyle name="Hyperlink 10 2" xfId="325"/>
    <cellStyle name="Hyperlink 10 2 2" xfId="528"/>
    <cellStyle name="Hyperlink 10 3" xfId="440"/>
    <cellStyle name="Hyperlink 11" xfId="122"/>
    <cellStyle name="Hyperlink 11 2" xfId="327"/>
    <cellStyle name="Hyperlink 11 2 2" xfId="530"/>
    <cellStyle name="Hyperlink 11 3" xfId="442"/>
    <cellStyle name="Hyperlink 12" xfId="124"/>
    <cellStyle name="Hyperlink 12 2" xfId="329"/>
    <cellStyle name="Hyperlink 12 2 2" xfId="532"/>
    <cellStyle name="Hyperlink 12 3" xfId="444"/>
    <cellStyle name="Hyperlink 13" xfId="126"/>
    <cellStyle name="Hyperlink 13 2" xfId="446"/>
    <cellStyle name="Hyperlink 14" xfId="128"/>
    <cellStyle name="Hyperlink 14 2" xfId="448"/>
    <cellStyle name="Hyperlink 15" xfId="166"/>
    <cellStyle name="Hyperlink 15 2" xfId="450"/>
    <cellStyle name="Hyperlink 16" xfId="169"/>
    <cellStyle name="Hyperlink 16 2" xfId="452"/>
    <cellStyle name="Hyperlink 17" xfId="171"/>
    <cellStyle name="Hyperlink 17 2" xfId="454"/>
    <cellStyle name="Hyperlink 18" xfId="173"/>
    <cellStyle name="Hyperlink 18 2" xfId="456"/>
    <cellStyle name="Hyperlink 19" xfId="175"/>
    <cellStyle name="Hyperlink 19 2" xfId="458"/>
    <cellStyle name="Hyperlink 2" xfId="95"/>
    <cellStyle name="Hyperlink 2 2" xfId="303"/>
    <cellStyle name="Hyperlink 2 2 2" xfId="512"/>
    <cellStyle name="Hyperlink 2 3" xfId="423"/>
    <cellStyle name="Hyperlink 20" xfId="177"/>
    <cellStyle name="Hyperlink 20 2" xfId="460"/>
    <cellStyle name="Hyperlink 21" xfId="179"/>
    <cellStyle name="Hyperlink 21 2" xfId="462"/>
    <cellStyle name="Hyperlink 22" xfId="181"/>
    <cellStyle name="Hyperlink 22 2" xfId="464"/>
    <cellStyle name="Hyperlink 23" xfId="184"/>
    <cellStyle name="Hyperlink 23 2" xfId="466"/>
    <cellStyle name="Hyperlink 24" xfId="186"/>
    <cellStyle name="Hyperlink 24 2" xfId="468"/>
    <cellStyle name="Hyperlink 25" xfId="188"/>
    <cellStyle name="Hyperlink 25 2" xfId="470"/>
    <cellStyle name="Hyperlink 26" xfId="190"/>
    <cellStyle name="Hyperlink 26 2" xfId="472"/>
    <cellStyle name="Hyperlink 27" xfId="192"/>
    <cellStyle name="Hyperlink 27 2" xfId="474"/>
    <cellStyle name="Hyperlink 28" xfId="194"/>
    <cellStyle name="Hyperlink 28 2" xfId="476"/>
    <cellStyle name="Hyperlink 29" xfId="196"/>
    <cellStyle name="Hyperlink 29 2" xfId="478"/>
    <cellStyle name="Hyperlink 3" xfId="98"/>
    <cellStyle name="Hyperlink 3 2" xfId="306"/>
    <cellStyle name="Hyperlink 3 2 2" xfId="514"/>
    <cellStyle name="Hyperlink 3 3" xfId="425"/>
    <cellStyle name="Hyperlink 30" xfId="198"/>
    <cellStyle name="Hyperlink 30 2" xfId="480"/>
    <cellStyle name="Hyperlink 31" xfId="200"/>
    <cellStyle name="Hyperlink 31 2" xfId="482"/>
    <cellStyle name="Hyperlink 32" xfId="202"/>
    <cellStyle name="Hyperlink 32 2" xfId="484"/>
    <cellStyle name="Hyperlink 33" xfId="204"/>
    <cellStyle name="Hyperlink 33 2" xfId="486"/>
    <cellStyle name="Hyperlink 34" xfId="206"/>
    <cellStyle name="Hyperlink 34 2" xfId="488"/>
    <cellStyle name="Hyperlink 35" xfId="208"/>
    <cellStyle name="Hyperlink 35 2" xfId="490"/>
    <cellStyle name="Hyperlink 36" xfId="210"/>
    <cellStyle name="Hyperlink 36 2" xfId="492"/>
    <cellStyle name="Hyperlink 37" xfId="212"/>
    <cellStyle name="Hyperlink 37 2" xfId="494"/>
    <cellStyle name="Hyperlink 38" xfId="214"/>
    <cellStyle name="Hyperlink 38 2" xfId="496"/>
    <cellStyle name="Hyperlink 39" xfId="229"/>
    <cellStyle name="Hyperlink 39 2" xfId="498"/>
    <cellStyle name="Hyperlink 4" xfId="103"/>
    <cellStyle name="Hyperlink 4 2" xfId="309"/>
    <cellStyle name="Hyperlink 4 2 2" xfId="516"/>
    <cellStyle name="Hyperlink 4 3" xfId="428"/>
    <cellStyle name="Hyperlink 40" xfId="244"/>
    <cellStyle name="Hyperlink 40 2" xfId="500"/>
    <cellStyle name="Hyperlink 41" xfId="259"/>
    <cellStyle name="Hyperlink 41 2" xfId="502"/>
    <cellStyle name="Hyperlink 42" xfId="261"/>
    <cellStyle name="Hyperlink 42 2" xfId="504"/>
    <cellStyle name="Hyperlink 43" xfId="263"/>
    <cellStyle name="Hyperlink 43 2" xfId="506"/>
    <cellStyle name="Hyperlink 44" xfId="265"/>
    <cellStyle name="Hyperlink 44 2" xfId="508"/>
    <cellStyle name="Hyperlink 45" xfId="301"/>
    <cellStyle name="Hyperlink 45 2" xfId="510"/>
    <cellStyle name="Hyperlink 46" xfId="344"/>
    <cellStyle name="Hyperlink 46 2" xfId="534"/>
    <cellStyle name="Hyperlink 47" xfId="359"/>
    <cellStyle name="Hyperlink 47 2" xfId="536"/>
    <cellStyle name="Hyperlink 48" xfId="374"/>
    <cellStyle name="Hyperlink 48 2" xfId="538"/>
    <cellStyle name="Hyperlink 49" xfId="389"/>
    <cellStyle name="Hyperlink 49 2" xfId="540"/>
    <cellStyle name="Hyperlink 5" xfId="106"/>
    <cellStyle name="Hyperlink 5 2" xfId="312"/>
    <cellStyle name="Hyperlink 5 2 2" xfId="518"/>
    <cellStyle name="Hyperlink 5 3" xfId="430"/>
    <cellStyle name="Hyperlink 50" xfId="404"/>
    <cellStyle name="Hyperlink 50 2" xfId="542"/>
    <cellStyle name="Hyperlink 51" xfId="419"/>
    <cellStyle name="Hyperlink 51 2" xfId="544"/>
    <cellStyle name="Hyperlink 52" xfId="421"/>
    <cellStyle name="Hyperlink 6" xfId="109"/>
    <cellStyle name="Hyperlink 6 2" xfId="315"/>
    <cellStyle name="Hyperlink 6 2 2" xfId="520"/>
    <cellStyle name="Hyperlink 6 3" xfId="432"/>
    <cellStyle name="Hyperlink 7" xfId="112"/>
    <cellStyle name="Hyperlink 7 2" xfId="317"/>
    <cellStyle name="Hyperlink 7 2 2" xfId="522"/>
    <cellStyle name="Hyperlink 7 3" xfId="434"/>
    <cellStyle name="Hyperlink 8" xfId="115"/>
    <cellStyle name="Hyperlink 8 2" xfId="320"/>
    <cellStyle name="Hyperlink 8 2 2" xfId="524"/>
    <cellStyle name="Hyperlink 8 3" xfId="436"/>
    <cellStyle name="Hyperlink 9" xfId="117"/>
    <cellStyle name="Hyperlink 9 2" xfId="322"/>
    <cellStyle name="Hyperlink 9 2 2" xfId="526"/>
    <cellStyle name="Hyperlink 9 3" xfId="438"/>
    <cellStyle name="Insatisfaisant" xfId="31" builtinId="27" customBuiltin="1"/>
    <cellStyle name="Insatisfaisant 2" xfId="131"/>
    <cellStyle name="Insatisfaisant 3" xfId="57"/>
    <cellStyle name="Lien hypertexte" xfId="44" builtinId="8"/>
    <cellStyle name="Lien hypertexte 2" xfId="47"/>
    <cellStyle name="Lien hypertexte 3" xfId="546"/>
    <cellStyle name="Lien hypertexte 4" xfId="111"/>
    <cellStyle name="Milliers 2" xfId="100"/>
    <cellStyle name="Milliers 3" xfId="427"/>
    <cellStyle name="Milliers 4" xfId="547"/>
    <cellStyle name="Monétaire 2" xfId="548"/>
    <cellStyle name="Neutre" xfId="32" builtinId="28" customBuiltin="1"/>
    <cellStyle name="Neutre 2" xfId="132"/>
    <cellStyle name="Neutre 2 2" xfId="267"/>
    <cellStyle name="Neutre 3" xfId="58"/>
    <cellStyle name="Normal" xfId="0" builtinId="0"/>
    <cellStyle name="Normal 10" xfId="108"/>
    <cellStyle name="Normal 10 2" xfId="314"/>
    <cellStyle name="Normal 11" xfId="114"/>
    <cellStyle name="Normal 11 2" xfId="319"/>
    <cellStyle name="Normal 12" xfId="119"/>
    <cellStyle name="Normal 12 2" xfId="324"/>
    <cellStyle name="Normal 13" xfId="168"/>
    <cellStyle name="Normal 14" xfId="183"/>
    <cellStyle name="Normal 15" xfId="46"/>
    <cellStyle name="Normal 2" xfId="48"/>
    <cellStyle name="Normal 3" xfId="49"/>
    <cellStyle name="Normal 4" xfId="50"/>
    <cellStyle name="Normal 5" xfId="51"/>
    <cellStyle name="Normal 6" xfId="92"/>
    <cellStyle name="Normal 6 2" xfId="300"/>
    <cellStyle name="Normal 7" xfId="97"/>
    <cellStyle name="Normal 7 2" xfId="305"/>
    <cellStyle name="Normal 8" xfId="102"/>
    <cellStyle name="Normal 8 2" xfId="308"/>
    <cellStyle name="Normal 9" xfId="105"/>
    <cellStyle name="Normal 9 2" xfId="311"/>
    <cellStyle name="Pourcentage" xfId="33" builtinId="5"/>
    <cellStyle name="Pourcentage 3" xfId="101"/>
    <cellStyle name="Satisfaisant" xfId="34" builtinId="26" customBuiltin="1"/>
    <cellStyle name="Satisfaisant 2" xfId="130"/>
    <cellStyle name="Satisfaisant 3" xfId="56"/>
    <cellStyle name="Sortie" xfId="35" builtinId="21" customBuiltin="1"/>
    <cellStyle name="Sortie 2" xfId="134"/>
    <cellStyle name="Sortie 2 2" xfId="269"/>
    <cellStyle name="Sortie 3" xfId="60"/>
    <cellStyle name="Texte explicatif" xfId="36" builtinId="53" customBuiltin="1"/>
    <cellStyle name="Texte explicatif 2" xfId="140"/>
    <cellStyle name="Texte explicatif 2 2" xfId="274"/>
    <cellStyle name="Texte explicatif 3" xfId="66"/>
    <cellStyle name="Titre" xfId="45" builtinId="15" customBuiltin="1"/>
    <cellStyle name="Titre 1" xfId="37"/>
    <cellStyle name="Titre 1" xfId="38" builtinId="16" customBuiltin="1"/>
    <cellStyle name="Titre 1 2" xfId="52"/>
    <cellStyle name="Titre 2" xfId="39" builtinId="17" customBuiltin="1"/>
    <cellStyle name="Titre 2 2" xfId="53"/>
    <cellStyle name="Titre 3" xfId="40" builtinId="18" customBuiltin="1"/>
    <cellStyle name="Titre 3 2" xfId="54"/>
    <cellStyle name="Titre 4" xfId="41" builtinId="19" customBuiltin="1"/>
    <cellStyle name="Titre 4 2" xfId="55"/>
    <cellStyle name="Total" xfId="42" builtinId="25" customBuiltin="1"/>
    <cellStyle name="Total 2" xfId="141"/>
    <cellStyle name="Total 2 2" xfId="275"/>
    <cellStyle name="Total 3" xfId="67"/>
    <cellStyle name="Vérification" xfId="43" builtinId="23" customBuiltin="1"/>
    <cellStyle name="Vérification 2" xfId="137"/>
    <cellStyle name="Vérification 2 2" xfId="272"/>
    <cellStyle name="Vérification 3" xfId="63"/>
  </cellStyles>
  <dxfs count="132">
    <dxf>
      <font>
        <b val="0"/>
        <condense val="0"/>
        <extend val="0"/>
        <color indexed="20"/>
      </font>
    </dxf>
    <dxf>
      <font>
        <color rgb="FF9C0006"/>
      </font>
      <fill>
        <patternFill>
          <bgColor rgb="FFFFC7CE"/>
        </patternFill>
      </fill>
    </dxf>
    <dxf>
      <font>
        <color rgb="FF9C0006"/>
      </font>
      <fill>
        <patternFill>
          <bgColor rgb="FFFFC7CE"/>
        </patternFill>
      </fill>
    </dxf>
    <dxf>
      <font>
        <b val="0"/>
        <condense val="0"/>
        <extend val="0"/>
        <color indexed="20"/>
      </font>
    </dxf>
    <dxf>
      <font>
        <color rgb="FF9C0006"/>
      </font>
      <fill>
        <patternFill>
          <bgColor rgb="FFFFC7CE"/>
        </patternFill>
      </fill>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color rgb="FF9C0006"/>
      </font>
      <fill>
        <patternFill>
          <bgColor rgb="FFFFC7CE"/>
        </patternFill>
      </fill>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color rgb="FF9C0006"/>
      </font>
      <fill>
        <patternFill>
          <bgColor rgb="FFFFC7CE"/>
        </patternFill>
      </fill>
    </dxf>
    <dxf>
      <font>
        <color rgb="FF9C0006"/>
      </font>
      <fill>
        <patternFill>
          <bgColor rgb="FFFFC7CE"/>
        </patternFill>
      </fill>
    </dxf>
    <dxf>
      <font>
        <b val="0"/>
        <condense val="0"/>
        <extend val="0"/>
        <color indexed="20"/>
      </font>
    </dxf>
    <dxf>
      <font>
        <color rgb="FF9C0006"/>
      </font>
      <fill>
        <patternFill>
          <bgColor rgb="FFFFC7CE"/>
        </patternFill>
      </fill>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b val="0"/>
        <condense val="0"/>
        <extend val="0"/>
        <color indexed="20"/>
      </font>
    </dxf>
    <dxf>
      <font>
        <color rgb="FF9C0006"/>
      </font>
      <fill>
        <patternFill>
          <bgColor rgb="FFFFC7CE"/>
        </patternFill>
      </fill>
    </dxf>
    <dxf>
      <font>
        <b val="0"/>
        <condense val="0"/>
        <extend val="0"/>
        <color indexed="20"/>
      </font>
    </dxf>
    <dxf>
      <font>
        <b val="0"/>
        <condense val="0"/>
        <extend val="0"/>
        <color indexed="20"/>
      </font>
    </dxf>
    <dxf>
      <font>
        <b val="0"/>
        <condense val="0"/>
        <extend val="0"/>
        <color indexed="20"/>
      </font>
    </dxf>
    <dxf>
      <font>
        <color rgb="FF9C0006"/>
      </font>
      <fill>
        <patternFill>
          <bgColor rgb="FFFFC7CE"/>
        </patternFill>
      </fill>
    </dxf>
    <dxf>
      <font>
        <b val="0"/>
        <condense val="0"/>
        <extend val="0"/>
        <color indexed="20"/>
      </font>
    </dxf>
    <dxf>
      <font>
        <color rgb="FF9C0006"/>
      </font>
    </dxf>
    <dxf>
      <border>
        <vertical/>
        <horizontal/>
      </border>
    </dxf>
    <dxf>
      <font>
        <b val="0"/>
        <i/>
        <color rgb="FFFF0000"/>
      </font>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val="0"/>
        <i/>
        <color rgb="FFFF0000"/>
      </font>
    </dxf>
    <dxf>
      <font>
        <color rgb="FF9C0006"/>
      </font>
    </dxf>
    <dxf>
      <font>
        <b/>
        <i val="0"/>
        <color rgb="FF9C0006"/>
      </font>
      <fill>
        <patternFill patternType="none">
          <bgColor auto="1"/>
        </patternFill>
      </fill>
    </dxf>
    <dxf>
      <font>
        <b/>
        <i val="0"/>
        <color rgb="FFFF0000"/>
      </font>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color rgb="FFFF0000"/>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FF0000"/>
      </font>
    </dxf>
    <dxf>
      <font>
        <b/>
        <i val="0"/>
        <color rgb="FFFF0000"/>
      </font>
    </dxf>
    <dxf>
      <font>
        <b/>
        <i val="0"/>
        <color rgb="FFFF0000"/>
      </font>
    </dxf>
    <dxf>
      <font>
        <b/>
        <i val="0"/>
        <color rgb="FFFF0000"/>
      </font>
    </dxf>
    <dxf>
      <font>
        <color rgb="FFFF0000"/>
      </font>
      <fill>
        <patternFill patternType="none">
          <bgColor auto="1"/>
        </patternFill>
      </fill>
    </dxf>
    <dxf>
      <font>
        <color rgb="FF9C0006"/>
      </font>
      <fill>
        <patternFill>
          <bgColor rgb="FFFFC7CE"/>
        </patternFill>
      </fill>
    </dxf>
    <dxf>
      <fill>
        <patternFill patternType="none">
          <bgColor auto="1"/>
        </patternFill>
      </fill>
    </dxf>
    <dxf>
      <fill>
        <patternFill patternType="none">
          <bgColor auto="1"/>
        </patternFill>
      </fill>
    </dxf>
    <dxf>
      <fill>
        <patternFill patternType="none">
          <bgColor auto="1"/>
        </patternFill>
      </fill>
    </dxf>
    <dxf>
      <border>
        <vertical/>
        <horizontal/>
      </border>
    </dxf>
    <dxf>
      <font>
        <b val="0"/>
        <i/>
        <color rgb="FFFF0000"/>
      </font>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val="0"/>
        <i/>
        <color rgb="FFFF0000"/>
      </font>
    </dxf>
    <dxf>
      <fill>
        <patternFill patternType="none">
          <bgColor auto="1"/>
        </patternFill>
      </fill>
    </dxf>
    <dxf>
      <fill>
        <patternFill>
          <bgColor rgb="FFFFFF00"/>
        </patternFill>
      </fill>
    </dxf>
    <dxf>
      <font>
        <color rgb="FF9C0006"/>
      </font>
      <fill>
        <patternFill>
          <bgColor rgb="FFFFC7CE"/>
        </patternFill>
      </fill>
    </dxf>
    <dxf>
      <fill>
        <patternFill patternType="none">
          <bgColor auto="1"/>
        </patternFill>
      </fill>
    </dxf>
    <dxf>
      <fill>
        <patternFill patternType="none">
          <bgColor auto="1"/>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patternType="none">
          <bgColor auto="1"/>
        </patternFill>
      </fill>
    </dxf>
    <dxf>
      <border>
        <vertical/>
        <horizontal/>
      </border>
    </dxf>
    <dxf>
      <fill>
        <patternFill patternType="none">
          <bgColor auto="1"/>
        </patternFill>
      </fill>
    </dxf>
    <dxf>
      <fill>
        <patternFill patternType="none">
          <bgColor auto="1"/>
        </patternFill>
      </fill>
    </dxf>
    <dxf>
      <font>
        <b val="0"/>
        <i/>
        <color rgb="FFFF0000"/>
      </font>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ont>
        <b/>
        <i val="0"/>
        <color rgb="FF9C0006"/>
      </font>
      <fill>
        <patternFill patternType="none">
          <bgColor auto="1"/>
        </patternFill>
      </fill>
    </dxf>
    <dxf>
      <fill>
        <patternFill patternType="none">
          <bgColor auto="1"/>
        </patternFill>
      </fill>
    </dxf>
    <dxf>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val="0"/>
        <i/>
        <color rgb="FFFF0000"/>
      </font>
    </dxf>
    <dxf>
      <font>
        <color rgb="FF9C0006"/>
      </font>
      <fill>
        <patternFill>
          <bgColor rgb="FFFFC7CE"/>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b val="0"/>
        <i val="0"/>
      </font>
      <fill>
        <patternFill>
          <bgColor theme="5" tint="0.7999816888943144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33CCCC"/>
      <color rgb="FF0099CC"/>
      <color rgb="FFFF99CC"/>
      <color rgb="FFFFCCFF"/>
      <color rgb="FFFFFF99"/>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theme" Target="theme/theme1.xml"/><Relationship Id="rId50"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styles" Target="styles.xml"/><Relationship Id="rId8" Type="http://schemas.openxmlformats.org/officeDocument/2006/relationships/worksheet" Target="worksheets/sheet8.xml"/><Relationship Id="rId51"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hyperlink" Target="#Locataires!A1"/><Relationship Id="rId1" Type="http://schemas.openxmlformats.org/officeDocument/2006/relationships/hyperlink" Target="#Logement!A1"/></Relationships>
</file>

<file path=xl/drawings/_rels/drawing3.xml.rels><?xml version="1.0" encoding="UTF-8" standalone="yes"?>
<Relationships xmlns="http://schemas.openxmlformats.org/package/2006/relationships"><Relationship Id="rId1" Type="http://schemas.openxmlformats.org/officeDocument/2006/relationships/image" Target="NULL"/></Relationships>
</file>

<file path=xl/drawings/_rels/drawing4.xml.rels><?xml version="1.0" encoding="UTF-8" standalone="yes"?>
<Relationships xmlns="http://schemas.openxmlformats.org/package/2006/relationships"><Relationship Id="rId1" Type="http://schemas.openxmlformats.org/officeDocument/2006/relationships/image" Target="NULL"/></Relationships>
</file>

<file path=xl/drawings/_rels/drawing5.xml.rels><?xml version="1.0" encoding="UTF-8" standalone="yes"?>
<Relationships xmlns="http://schemas.openxmlformats.org/package/2006/relationships"><Relationship Id="rId1" Type="http://schemas.openxmlformats.org/officeDocument/2006/relationships/image" Target="NULL"/></Relationships>
</file>

<file path=xl/drawings/_rels/drawing6.xml.rels><?xml version="1.0" encoding="UTF-8" standalone="yes"?>
<Relationships xmlns="http://schemas.openxmlformats.org/package/2006/relationships"><Relationship Id="rId1" Type="http://schemas.openxmlformats.org/officeDocument/2006/relationships/image" Target="NULL"/></Relationships>
</file>

<file path=xl/drawings/_rels/drawing7.xml.rels><?xml version="1.0" encoding="UTF-8" standalone="yes"?>
<Relationships xmlns="http://schemas.openxmlformats.org/package/2006/relationships"><Relationship Id="rId1" Type="http://schemas.openxmlformats.org/officeDocument/2006/relationships/image" Target="NULL"/></Relationships>
</file>

<file path=xl/drawings/_rels/drawing8.xml.rels><?xml version="1.0" encoding="UTF-8" standalone="yes"?>
<Relationships xmlns="http://schemas.openxmlformats.org/package/2006/relationships"><Relationship Id="rId1" Type="http://schemas.openxmlformats.org/officeDocument/2006/relationships/image" Target="NULL"/></Relationships>
</file>

<file path=xl/drawings/_rels/drawing9.xml.rels><?xml version="1.0" encoding="UTF-8" standalone="yes"?>
<Relationships xmlns="http://schemas.openxmlformats.org/package/2006/relationships"><Relationship Id="rId1" Type="http://schemas.openxmlformats.org/officeDocument/2006/relationships/image" Target="NULL"/></Relationships>
</file>

<file path=xl/drawings/_rels/drawing10.xml.rels><?xml version="1.0" encoding="UTF-8" standalone="yes"?>
<Relationships xmlns="http://schemas.openxmlformats.org/package/2006/relationships"><Relationship Id="rId1" Type="http://schemas.openxmlformats.org/officeDocument/2006/relationships/image" Target="NULL"/></Relationships>
</file>

<file path=xl/drawings/_rels/drawing11.xml.rels><?xml version="1.0" encoding="UTF-8" standalone="yes"?>
<Relationships xmlns="http://schemas.openxmlformats.org/package/2006/relationships"><Relationship Id="rId1" Type="http://schemas.openxmlformats.org/officeDocument/2006/relationships/image" Target="NULL"/></Relationships>
</file>

<file path=xl/drawings/_rels/drawing12.xml.rels><?xml version="1.0" encoding="UTF-8" standalone="yes"?>
<Relationships xmlns="http://schemas.openxmlformats.org/package/2006/relationships"><Relationship Id="rId1" Type="http://schemas.openxmlformats.org/officeDocument/2006/relationships/image" Target="NULL"/></Relationships>
</file>

<file path=xl/drawings/_rels/drawing13.xml.rels><?xml version="1.0" encoding="UTF-8" standalone="yes"?>
<Relationships xmlns="http://schemas.openxmlformats.org/package/2006/relationships"><Relationship Id="rId1" Type="http://schemas.openxmlformats.org/officeDocument/2006/relationships/image" Target="NULL"/></Relationships>
</file>

<file path=xl/drawings/_rels/drawing14.xml.rels><?xml version="1.0" encoding="UTF-8" standalone="yes"?>
<Relationships xmlns="http://schemas.openxmlformats.org/package/2006/relationships"><Relationship Id="rId1" Type="http://schemas.openxmlformats.org/officeDocument/2006/relationships/image" Target="NULL"/></Relationships>
</file>

<file path=xl/drawings/_rels/drawing15.xml.rels><?xml version="1.0" encoding="UTF-8" standalone="yes"?>
<Relationships xmlns="http://schemas.openxmlformats.org/package/2006/relationships"><Relationship Id="rId1" Type="http://schemas.openxmlformats.org/officeDocument/2006/relationships/image" Target="NULL"/></Relationships>
</file>

<file path=xl/drawings/_rels/drawing16.xml.rels><?xml version="1.0" encoding="UTF-8" standalone="yes"?>
<Relationships xmlns="http://schemas.openxmlformats.org/package/2006/relationships"><Relationship Id="rId1" Type="http://schemas.openxmlformats.org/officeDocument/2006/relationships/image" Target="NULL"/></Relationships>
</file>

<file path=xl/drawings/drawing1.xml><?xml version="1.0" encoding="utf-8"?>
<xdr:wsDr xmlns:xdr="http://schemas.openxmlformats.org/drawingml/2006/spreadsheetDrawing" xmlns:a="http://schemas.openxmlformats.org/drawingml/2006/main">
  <xdr:twoCellAnchor>
    <xdr:from>
      <xdr:col>7</xdr:col>
      <xdr:colOff>752475</xdr:colOff>
      <xdr:row>13</xdr:row>
      <xdr:rowOff>0</xdr:rowOff>
    </xdr:from>
    <xdr:to>
      <xdr:col>9</xdr:col>
      <xdr:colOff>9525</xdr:colOff>
      <xdr:row>14</xdr:row>
      <xdr:rowOff>9525</xdr:rowOff>
    </xdr:to>
    <xdr:sp macro="[0]!visible" textlink="">
      <xdr:nvSpPr>
        <xdr:cNvPr id="2" name="Rectangle à coins arrondis 1"/>
        <xdr:cNvSpPr/>
      </xdr:nvSpPr>
      <xdr:spPr bwMode="auto">
        <a:xfrm>
          <a:off x="7962900" y="1819275"/>
          <a:ext cx="781050" cy="171450"/>
        </a:xfrm>
        <a:prstGeom prst="roundRect">
          <a:avLst/>
        </a:prstGeom>
        <a:solidFill>
          <a:schemeClr val="accent5">
            <a:lumMod val="40000"/>
            <a:lumOff val="6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t" upright="1"/>
        <a:lstStyle/>
        <a:p>
          <a:pPr algn="ctr"/>
          <a:r>
            <a:rPr lang="fr-FR" sz="1100"/>
            <a:t>Visible</a:t>
          </a:r>
        </a:p>
      </xdr:txBody>
    </xdr:sp>
    <xdr:clientData/>
  </xdr:twoCellAnchor>
  <xdr:oneCellAnchor>
    <xdr:from>
      <xdr:col>7</xdr:col>
      <xdr:colOff>466725</xdr:colOff>
      <xdr:row>16</xdr:row>
      <xdr:rowOff>28575</xdr:rowOff>
    </xdr:from>
    <xdr:ext cx="184731" cy="264560"/>
    <xdr:sp macro="" textlink="">
      <xdr:nvSpPr>
        <xdr:cNvPr id="3" name="ZoneTexte 2"/>
        <xdr:cNvSpPr txBox="1"/>
      </xdr:nvSpPr>
      <xdr:spPr>
        <a:xfrm>
          <a:off x="7677150" y="23336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7</xdr:col>
      <xdr:colOff>733425</xdr:colOff>
      <xdr:row>16</xdr:row>
      <xdr:rowOff>9525</xdr:rowOff>
    </xdr:from>
    <xdr:to>
      <xdr:col>8</xdr:col>
      <xdr:colOff>752475</xdr:colOff>
      <xdr:row>17</xdr:row>
      <xdr:rowOff>19050</xdr:rowOff>
    </xdr:to>
    <xdr:sp macro="[0]!ThisWorkbook.invisible" textlink="">
      <xdr:nvSpPr>
        <xdr:cNvPr id="4" name="Rectangle à coins arrondis 3"/>
        <xdr:cNvSpPr/>
      </xdr:nvSpPr>
      <xdr:spPr bwMode="auto">
        <a:xfrm>
          <a:off x="7943850" y="2314575"/>
          <a:ext cx="781050" cy="171450"/>
        </a:xfrm>
        <a:prstGeom prst="roundRect">
          <a:avLst/>
        </a:prstGeom>
        <a:solidFill>
          <a:schemeClr val="accent1">
            <a:lumMod val="40000"/>
            <a:lumOff val="6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t" upright="1"/>
        <a:lstStyle/>
        <a:p>
          <a:pPr algn="ctr"/>
          <a:r>
            <a:rPr lang="fr-FR" sz="1100"/>
            <a:t>masquer</a:t>
          </a:r>
        </a:p>
      </xdr:txBody>
    </xdr:sp>
    <xdr:clientData/>
  </xdr:twoCellAnchor>
  <xdr:twoCellAnchor>
    <xdr:from>
      <xdr:col>9</xdr:col>
      <xdr:colOff>0</xdr:colOff>
      <xdr:row>2</xdr:row>
      <xdr:rowOff>152400</xdr:rowOff>
    </xdr:from>
    <xdr:to>
      <xdr:col>10</xdr:col>
      <xdr:colOff>0</xdr:colOff>
      <xdr:row>4</xdr:row>
      <xdr:rowOff>9525</xdr:rowOff>
    </xdr:to>
    <xdr:sp macro="" textlink="">
      <xdr:nvSpPr>
        <xdr:cNvPr id="5" name="Rectangle à coins arrondis 4">
          <a:hlinkClick xmlns:r="http://schemas.openxmlformats.org/officeDocument/2006/relationships" r:id="rId1"/>
        </xdr:cNvPr>
        <xdr:cNvSpPr/>
      </xdr:nvSpPr>
      <xdr:spPr bwMode="auto">
        <a:xfrm>
          <a:off x="7858125" y="476250"/>
          <a:ext cx="2152650" cy="180975"/>
        </a:xfrm>
        <a:prstGeom prst="roundRect">
          <a:avLst/>
        </a:prstGeom>
        <a:solidFill>
          <a:schemeClr val="tx2">
            <a:lumMod val="40000"/>
            <a:lumOff val="6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ctr" upright="1"/>
        <a:lstStyle/>
        <a:p>
          <a:pPr algn="ctr"/>
          <a:r>
            <a:rPr lang="fr-FR" sz="1100"/>
            <a:t>Logements</a:t>
          </a:r>
        </a:p>
      </xdr:txBody>
    </xdr:sp>
    <xdr:clientData/>
  </xdr:twoCellAnchor>
  <xdr:twoCellAnchor>
    <xdr:from>
      <xdr:col>9</xdr:col>
      <xdr:colOff>0</xdr:colOff>
      <xdr:row>0</xdr:row>
      <xdr:rowOff>133350</xdr:rowOff>
    </xdr:from>
    <xdr:to>
      <xdr:col>10</xdr:col>
      <xdr:colOff>0</xdr:colOff>
      <xdr:row>1</xdr:row>
      <xdr:rowOff>152400</xdr:rowOff>
    </xdr:to>
    <xdr:sp macro="" textlink="">
      <xdr:nvSpPr>
        <xdr:cNvPr id="6" name="Rectangle à coins arrondis 5">
          <a:hlinkClick xmlns:r="http://schemas.openxmlformats.org/officeDocument/2006/relationships" r:id="rId2"/>
        </xdr:cNvPr>
        <xdr:cNvSpPr/>
      </xdr:nvSpPr>
      <xdr:spPr bwMode="auto">
        <a:xfrm>
          <a:off x="7639050" y="133350"/>
          <a:ext cx="2152650" cy="180975"/>
        </a:xfrm>
        <a:prstGeom prst="roundRect">
          <a:avLst/>
        </a:prstGeom>
        <a:solidFill>
          <a:schemeClr val="tx2">
            <a:lumMod val="60000"/>
            <a:lumOff val="4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ctr" upright="1"/>
        <a:lstStyle/>
        <a:p>
          <a:pPr algn="ctr"/>
          <a:r>
            <a:rPr lang="fr-FR" sz="1100"/>
            <a:t>Locataires</a:t>
          </a:r>
        </a:p>
      </xdr:txBody>
    </xdr:sp>
    <xdr:clientData/>
  </xdr:twoCellAnchor>
  <xdr:twoCellAnchor>
    <xdr:from>
      <xdr:col>1</xdr:col>
      <xdr:colOff>19050</xdr:colOff>
      <xdr:row>26</xdr:row>
      <xdr:rowOff>152400</xdr:rowOff>
    </xdr:from>
    <xdr:to>
      <xdr:col>2</xdr:col>
      <xdr:colOff>0</xdr:colOff>
      <xdr:row>28</xdr:row>
      <xdr:rowOff>28575</xdr:rowOff>
    </xdr:to>
    <xdr:sp macro="[0]!auto_open" textlink="">
      <xdr:nvSpPr>
        <xdr:cNvPr id="7" name="Rectangle à coins arrondis 6"/>
        <xdr:cNvSpPr/>
      </xdr:nvSpPr>
      <xdr:spPr bwMode="auto">
        <a:xfrm>
          <a:off x="781050" y="4486275"/>
          <a:ext cx="1743075" cy="200025"/>
        </a:xfrm>
        <a:prstGeom prst="roundRect">
          <a:avLst/>
        </a:prstGeom>
        <a:solidFill>
          <a:srgbClr xmlns:mc="http://schemas.openxmlformats.org/markup-compatibility/2006" xmlns:a14="http://schemas.microsoft.com/office/drawing/2010/main" val="FFFFFF"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horzOverflow="clip" wrap="square" lIns="18288" tIns="0" rIns="0" bIns="0" rtlCol="0" anchor="t" upright="1"/>
        <a:lstStyle/>
        <a:p>
          <a:pPr algn="ctr"/>
          <a:r>
            <a:rPr lang="fr-FR" sz="1100"/>
            <a:t>Acceder menu</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19050</xdr:colOff>
      <xdr:row>26</xdr:row>
      <xdr:rowOff>9525</xdr:rowOff>
    </xdr:from>
    <xdr:to>
      <xdr:col>3</xdr:col>
      <xdr:colOff>695325</xdr:colOff>
      <xdr:row>27</xdr:row>
      <xdr:rowOff>28575</xdr:rowOff>
    </xdr:to>
    <xdr:sp macro="[0]!ThisWorkbook.archive" textlink="">
      <xdr:nvSpPr>
        <xdr:cNvPr id="3" name="Rectangle à coins arrondis 2"/>
        <xdr:cNvSpPr/>
      </xdr:nvSpPr>
      <xdr:spPr bwMode="auto">
        <a:xfrm>
          <a:off x="2362200" y="4610100"/>
          <a:ext cx="676275" cy="428625"/>
        </a:xfrm>
        <a:prstGeom prst="roundRect">
          <a:avLst/>
        </a:prstGeom>
        <a:solidFill>
          <a:schemeClr val="tx2">
            <a:lumMod val="40000"/>
            <a:lumOff val="6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ctr" upright="1"/>
        <a:lstStyle/>
        <a:p>
          <a:pPr algn="ctr"/>
          <a:r>
            <a:rPr lang="fr-FR" sz="1100"/>
            <a:t>Archive</a:t>
          </a:r>
        </a:p>
      </xdr:txBody>
    </xdr:sp>
    <xdr:clientData/>
  </xdr:twoCellAnchor>
  <xdr:twoCellAnchor>
    <xdr:from>
      <xdr:col>3</xdr:col>
      <xdr:colOff>0</xdr:colOff>
      <xdr:row>27</xdr:row>
      <xdr:rowOff>152400</xdr:rowOff>
    </xdr:from>
    <xdr:to>
      <xdr:col>3</xdr:col>
      <xdr:colOff>676275</xdr:colOff>
      <xdr:row>29</xdr:row>
      <xdr:rowOff>85725</xdr:rowOff>
    </xdr:to>
    <xdr:sp macro="[0]!ThisWorkbook.resto" textlink="">
      <xdr:nvSpPr>
        <xdr:cNvPr id="4" name="Rectangle à coins arrondis 3"/>
        <xdr:cNvSpPr/>
      </xdr:nvSpPr>
      <xdr:spPr bwMode="auto">
        <a:xfrm>
          <a:off x="2343150" y="5162550"/>
          <a:ext cx="676275" cy="428625"/>
        </a:xfrm>
        <a:prstGeom prst="roundRect">
          <a:avLst/>
        </a:prstGeom>
        <a:solidFill>
          <a:schemeClr val="tx2">
            <a:lumMod val="40000"/>
            <a:lumOff val="60000"/>
          </a:schemeClr>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xdr:spPr>
      <xdr:txBody>
        <a:bodyPr vertOverflow="clip" horzOverflow="clip" wrap="square" lIns="18288" tIns="0" rIns="0" bIns="0" rtlCol="0" anchor="ctr" upright="1"/>
        <a:lstStyle/>
        <a:p>
          <a:pPr algn="ctr"/>
          <a:r>
            <a:rPr lang="fr-FR" sz="1100"/>
            <a:t>Resto</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38</xdr:row>
      <xdr:rowOff>0</xdr:rowOff>
    </xdr:from>
    <xdr:to>
      <xdr:col>5</xdr:col>
      <xdr:colOff>314325</xdr:colOff>
      <xdr:row>44</xdr:row>
      <xdr:rowOff>0</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683895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39</xdr:row>
      <xdr:rowOff>0</xdr:rowOff>
    </xdr:from>
    <xdr:to>
      <xdr:col>5</xdr:col>
      <xdr:colOff>342900</xdr:colOff>
      <xdr:row>45</xdr:row>
      <xdr:rowOff>66675</xdr:rowOff>
    </xdr:to>
    <xdr:pic>
      <xdr:nvPicPr>
        <xdr:cNvPr id="2" name="signature" descr="Signature caillat" hidden="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68961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0</xdr:colOff>
      <xdr:row>38</xdr:row>
      <xdr:rowOff>0</xdr:rowOff>
    </xdr:from>
    <xdr:to>
      <xdr:col>5</xdr:col>
      <xdr:colOff>314325</xdr:colOff>
      <xdr:row>44</xdr:row>
      <xdr:rowOff>0</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66198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0</xdr:colOff>
      <xdr:row>38</xdr:row>
      <xdr:rowOff>0</xdr:rowOff>
    </xdr:from>
    <xdr:to>
      <xdr:col>5</xdr:col>
      <xdr:colOff>314325</xdr:colOff>
      <xdr:row>44</xdr:row>
      <xdr:rowOff>0</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66198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0</xdr:colOff>
      <xdr:row>38</xdr:row>
      <xdr:rowOff>0</xdr:rowOff>
    </xdr:from>
    <xdr:to>
      <xdr:col>5</xdr:col>
      <xdr:colOff>314325</xdr:colOff>
      <xdr:row>44</xdr:row>
      <xdr:rowOff>0</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66198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3</xdr:col>
      <xdr:colOff>0</xdr:colOff>
      <xdr:row>40</xdr:row>
      <xdr:rowOff>0</xdr:rowOff>
    </xdr:from>
    <xdr:to>
      <xdr:col>6</xdr:col>
      <xdr:colOff>314325</xdr:colOff>
      <xdr:row>46</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70104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484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484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48475"/>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580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580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57150</xdr:colOff>
      <xdr:row>23</xdr:row>
      <xdr:rowOff>161925</xdr:rowOff>
    </xdr:from>
    <xdr:to>
      <xdr:col>12</xdr:col>
      <xdr:colOff>102869</xdr:colOff>
      <xdr:row>24</xdr:row>
      <xdr:rowOff>28575</xdr:rowOff>
    </xdr:to>
    <xdr:sp macro="" textlink="">
      <xdr:nvSpPr>
        <xdr:cNvPr id="3" name="Rectangle à coins arrondis 2"/>
        <xdr:cNvSpPr/>
      </xdr:nvSpPr>
      <xdr:spPr bwMode="auto">
        <a:xfrm>
          <a:off x="9105900" y="4305300"/>
          <a:ext cx="45719" cy="57150"/>
        </a:xfrm>
        <a:prstGeom prst="roundRect">
          <a:avLst/>
        </a:prstGeom>
        <a:solidFill>
          <a:srgbClr xmlns:mc="http://schemas.openxmlformats.org/markup-compatibility/2006" xmlns:a14="http://schemas.microsoft.com/office/drawing/2010/main" val="FFFFFF"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horzOverflow="clip" wrap="square" lIns="18288" tIns="0" rIns="0" bIns="0" rtlCol="0" anchor="t" upright="1"/>
        <a:lstStyle/>
        <a:p>
          <a:pPr algn="l"/>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editAs="oneCell">
    <xdr:from>
      <xdr:col>2</xdr:col>
      <xdr:colOff>0</xdr:colOff>
      <xdr:row>39</xdr:row>
      <xdr:rowOff>0</xdr:rowOff>
    </xdr:from>
    <xdr:to>
      <xdr:col>5</xdr:col>
      <xdr:colOff>314325</xdr:colOff>
      <xdr:row>45</xdr:row>
      <xdr:rowOff>66675</xdr:rowOff>
    </xdr:to>
    <xdr:pic>
      <xdr:nvPicPr>
        <xdr:cNvPr id="2" name="signature" descr="Signature caillat" hidden="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6900" y="70485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5.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685800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6.xml><?xml version="1.0" encoding="utf-8"?>
<xdr:wsDr xmlns:xdr="http://schemas.openxmlformats.org/drawingml/2006/spreadsheetDrawing" xmlns:a="http://schemas.openxmlformats.org/drawingml/2006/main">
  <xdr:twoCellAnchor editAs="oneCell">
    <xdr:from>
      <xdr:col>3</xdr:col>
      <xdr:colOff>0</xdr:colOff>
      <xdr:row>39</xdr:row>
      <xdr:rowOff>0</xdr:rowOff>
    </xdr:from>
    <xdr:to>
      <xdr:col>6</xdr:col>
      <xdr:colOff>314325</xdr:colOff>
      <xdr:row>45</xdr:row>
      <xdr:rowOff>66675</xdr:rowOff>
    </xdr:to>
    <xdr:pic>
      <xdr:nvPicPr>
        <xdr:cNvPr id="2" name="signature" descr="Signature caillat"/>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8900" y="7067550"/>
          <a:ext cx="2457450" cy="1038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FFFFFF" mc:Ignorable="a14" a14:legacySpreadsheetColorIndex="9"/>
        </a:solidFill>
        <a:ln w="9525" cap="flat" cmpd="sng" algn="ctr">
          <a:solidFill>
            <a:srgbClr xmlns:mc="http://schemas.openxmlformats.org/markup-compatibility/2006" xmlns:a14="http://schemas.microsoft.com/office/drawing/2010/main" val="0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hyperlink" Target="mailto:Smer38@yahoo.fr"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5.bin"/><Relationship Id="rId1" Type="http://schemas.openxmlformats.org/officeDocument/2006/relationships/hyperlink" Target="mailto:demo38@gmail.com" TargetMode="External"/><Relationship Id="rId4" Type="http://schemas.openxmlformats.org/officeDocument/2006/relationships/comments" Target="../comments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printerSettings" Target="../printerSettings/printerSettings7.bin"/><Relationship Id="rId1" Type="http://schemas.openxmlformats.org/officeDocument/2006/relationships/hyperlink" Target="mailto:d.yyyyyy@xxxxxxxx.fr" TargetMode="External"/><Relationship Id="rId4" Type="http://schemas.openxmlformats.org/officeDocument/2006/relationships/comments" Target="../comments3.xml"/></Relationships>
</file>

<file path=xl/worksheets/_rels/sheet12.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2.xml"/><Relationship Id="rId1" Type="http://schemas.openxmlformats.org/officeDocument/2006/relationships/printerSettings" Target="../printerSettings/printerSettings18.bin"/><Relationship Id="rId4" Type="http://schemas.openxmlformats.org/officeDocument/2006/relationships/comments" Target="../comments5.xml"/></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6.xml.rels><?xml version="1.0" encoding="UTF-8" standalone="yes"?>
<Relationships xmlns="http://schemas.openxmlformats.org/package/2006/relationships"><Relationship Id="rId2" Type="http://schemas.openxmlformats.org/officeDocument/2006/relationships/comments" Target="../comments6.xml"/><Relationship Id="rId1" Type="http://schemas.openxmlformats.org/officeDocument/2006/relationships/vmlDrawing" Target="../drawings/vmlDrawing6.vml"/></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9.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2.bin"/></Relationships>
</file>

<file path=xl/worksheets/_rels/sheet30.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3.bin"/></Relationships>
</file>

<file path=xl/worksheets/_rels/sheet3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24.bin"/></Relationships>
</file>

<file path=xl/worksheets/_rels/sheet32.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25.bin"/></Relationships>
</file>

<file path=xl/worksheets/_rels/sheet33.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26.bin"/></Relationships>
</file>

<file path=xl/worksheets/_rels/sheet34.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27.bin"/></Relationships>
</file>

<file path=xl/worksheets/_rels/sheet35.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28.bin"/></Relationships>
</file>

<file path=xl/worksheets/_rels/sheet36.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29.bin"/></Relationships>
</file>

<file path=xl/worksheets/_rels/sheet37.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30.bin"/></Relationships>
</file>

<file path=xl/worksheets/_rels/sheet38.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31.bin"/></Relationships>
</file>

<file path=xl/worksheets/_rels/sheet39.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32.bin"/></Relationships>
</file>

<file path=xl/worksheets/_rels/sheet40.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33.bin"/></Relationships>
</file>

<file path=xl/worksheets/_rels/sheet41.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34.bin"/></Relationships>
</file>

<file path=xl/worksheets/_rels/sheet42.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35.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46.xml.rels><?xml version="1.0" encoding="UTF-8" standalone="yes"?>
<Relationships xmlns="http://schemas.openxmlformats.org/package/2006/relationships"><Relationship Id="rId2" Type="http://schemas.openxmlformats.org/officeDocument/2006/relationships/comments" Target="../comments7.xml"/><Relationship Id="rId1" Type="http://schemas.openxmlformats.org/officeDocument/2006/relationships/vmlDrawing" Target="../drawings/vmlDrawing7.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I52"/>
  <sheetViews>
    <sheetView tabSelected="1" workbookViewId="0">
      <selection activeCell="C11" sqref="C11"/>
    </sheetView>
  </sheetViews>
  <sheetFormatPr baseColWidth="10" defaultRowHeight="12.75"/>
  <cols>
    <col min="2" max="2" width="26.42578125" customWidth="1"/>
    <col min="3" max="3" width="19.85546875" customWidth="1"/>
    <col min="4" max="4" width="10" customWidth="1"/>
    <col min="5" max="5" width="2.85546875" customWidth="1"/>
    <col min="6" max="6" width="10.42578125" customWidth="1"/>
    <col min="7" max="7" width="5.7109375" customWidth="1"/>
    <col min="10" max="10" width="32.28515625" customWidth="1"/>
    <col min="11" max="11" width="8" customWidth="1"/>
    <col min="12" max="12" width="4.7109375" customWidth="1"/>
    <col min="13" max="13" width="5.7109375" customWidth="1"/>
    <col min="14" max="14" width="6.5703125" customWidth="1"/>
    <col min="15" max="15" width="7.140625" customWidth="1"/>
    <col min="16" max="16" width="4.28515625" customWidth="1"/>
    <col min="17" max="17" width="3.7109375" customWidth="1"/>
    <col min="18" max="18" width="0.85546875" customWidth="1"/>
    <col min="19" max="19" width="4.7109375" customWidth="1"/>
    <col min="20" max="20" width="6.28515625" customWidth="1"/>
    <col min="21" max="21" width="7" customWidth="1"/>
    <col min="22" max="22" width="5.140625" customWidth="1"/>
    <col min="23" max="23" width="4.7109375" customWidth="1"/>
    <col min="24" max="24" width="4.85546875" customWidth="1"/>
    <col min="25" max="25" width="0.85546875" customWidth="1"/>
    <col min="26" max="26" width="4.5703125" customWidth="1"/>
    <col min="27" max="27" width="5.85546875" customWidth="1"/>
    <col min="28" max="28" width="6.140625" customWidth="1"/>
    <col min="29" max="29" width="5.85546875" customWidth="1"/>
    <col min="30" max="30" width="5.7109375" customWidth="1"/>
    <col min="31" max="31" width="5.85546875" customWidth="1"/>
    <col min="32" max="32" width="0.5703125" customWidth="1"/>
    <col min="33" max="34" width="6.85546875" customWidth="1"/>
    <col min="35" max="35" width="7.42578125" customWidth="1"/>
    <col min="36" max="36" width="6.7109375" customWidth="1"/>
    <col min="37" max="37" width="5.7109375" customWidth="1"/>
    <col min="38" max="38" width="6.28515625" customWidth="1"/>
    <col min="39" max="39" width="1" customWidth="1"/>
    <col min="40" max="41" width="6.85546875" customWidth="1"/>
    <col min="42" max="42" width="7.42578125" customWidth="1"/>
    <col min="43" max="43" width="6.7109375" customWidth="1"/>
    <col min="44" max="44" width="5.7109375" customWidth="1"/>
    <col min="45" max="45" width="6.28515625" customWidth="1"/>
  </cols>
  <sheetData>
    <row r="1" spans="1:45" ht="13.5" thickBot="1">
      <c r="A1" s="241" t="s">
        <v>664</v>
      </c>
      <c r="B1" s="347"/>
      <c r="C1" s="348"/>
      <c r="D1" s="348"/>
      <c r="E1" s="348"/>
      <c r="F1" s="348"/>
      <c r="G1" s="348"/>
      <c r="H1" s="348"/>
      <c r="I1" s="348"/>
      <c r="J1" s="348"/>
      <c r="K1" s="348"/>
      <c r="L1" s="348"/>
      <c r="M1" s="348"/>
      <c r="N1" s="348"/>
      <c r="O1" s="348"/>
      <c r="P1" s="348"/>
      <c r="Q1" s="348"/>
      <c r="R1" s="348"/>
      <c r="S1" s="349"/>
    </row>
    <row r="2" spans="1:45">
      <c r="A2" s="186">
        <v>2</v>
      </c>
    </row>
    <row r="6" spans="1:45">
      <c r="E6" s="65" t="s">
        <v>49</v>
      </c>
    </row>
    <row r="7" spans="1:45" ht="15.75">
      <c r="B7" s="66" t="s">
        <v>47</v>
      </c>
      <c r="C7" s="103" t="s">
        <v>43</v>
      </c>
      <c r="E7" s="65">
        <v>3</v>
      </c>
      <c r="J7" s="104" t="s">
        <v>74</v>
      </c>
    </row>
    <row r="8" spans="1:45" s="7" customFormat="1" ht="15.75">
      <c r="B8" s="82"/>
      <c r="C8" s="107" t="e">
        <f>VLOOKUP(C7,Logement!C4:AC8,4,0)</f>
        <v>#N/A</v>
      </c>
      <c r="E8" s="83"/>
      <c r="L8" s="639" t="s">
        <v>118</v>
      </c>
      <c r="M8" s="639"/>
      <c r="N8" s="639"/>
      <c r="O8" s="639"/>
      <c r="P8" s="639"/>
      <c r="Q8" s="639"/>
      <c r="R8" s="639"/>
      <c r="S8" s="639"/>
      <c r="T8" s="639"/>
      <c r="U8" s="639"/>
      <c r="V8" s="639"/>
      <c r="W8" s="639"/>
      <c r="X8" s="640"/>
      <c r="Y8" s="640"/>
      <c r="Z8" s="640"/>
      <c r="AA8" s="640"/>
      <c r="AB8" s="640"/>
      <c r="AC8" s="640"/>
      <c r="AD8" s="640"/>
    </row>
    <row r="9" spans="1:45" s="7" customFormat="1" ht="15.75">
      <c r="B9" s="82"/>
      <c r="C9" s="107" t="e">
        <f>VLOOKUP(C7,Logement!C4:AC8,6,0)</f>
        <v>#N/A</v>
      </c>
      <c r="E9" s="83"/>
      <c r="F9" s="646" t="s">
        <v>69</v>
      </c>
      <c r="G9" s="646"/>
      <c r="H9" s="647"/>
    </row>
    <row r="10" spans="1:45">
      <c r="F10" s="88" t="s">
        <v>68</v>
      </c>
      <c r="G10" s="89" t="s">
        <v>66</v>
      </c>
      <c r="H10" s="89" t="s">
        <v>76</v>
      </c>
      <c r="I10" s="12" t="s">
        <v>67</v>
      </c>
      <c r="L10" s="641" t="str">
        <f>recap_L1!C3</f>
        <v>Studio le carrare</v>
      </c>
      <c r="M10" s="641"/>
      <c r="N10" s="641"/>
      <c r="O10" s="641"/>
      <c r="P10" s="641"/>
      <c r="Q10" s="641"/>
      <c r="R10" s="149"/>
      <c r="S10" s="643" t="str">
        <f>recap_L2!C3</f>
        <v>Le narvik</v>
      </c>
      <c r="T10" s="643"/>
      <c r="U10" s="643"/>
      <c r="V10" s="643"/>
      <c r="W10" s="643"/>
      <c r="X10" s="643"/>
      <c r="Y10" s="149"/>
      <c r="Z10" s="641" t="str">
        <f>recap_L3!C3</f>
        <v>La bruyere</v>
      </c>
      <c r="AA10" s="641"/>
      <c r="AB10" s="641"/>
      <c r="AC10" s="641"/>
      <c r="AD10" s="641"/>
      <c r="AE10" s="641"/>
      <c r="AF10" s="149"/>
      <c r="AG10" s="654" t="str">
        <f>recap_L4!C3</f>
        <v>Merlette</v>
      </c>
      <c r="AH10" s="654"/>
      <c r="AI10" s="654"/>
      <c r="AJ10" s="654"/>
      <c r="AK10" s="654"/>
      <c r="AL10" s="654"/>
      <c r="AN10" s="654" t="str">
        <f>recap_L5!C3</f>
        <v>En attente</v>
      </c>
      <c r="AO10" s="654"/>
      <c r="AP10" s="654"/>
      <c r="AQ10" s="654"/>
      <c r="AR10" s="654"/>
      <c r="AS10" s="654"/>
    </row>
    <row r="11" spans="1:45" ht="13.5" customHeight="1">
      <c r="C11" s="161" t="s">
        <v>9</v>
      </c>
      <c r="D11" s="81" t="e">
        <f>VLOOKUP(C7,Logement!C4:AC8,7,0)</f>
        <v>#N/A</v>
      </c>
      <c r="F11" s="87" t="e">
        <f>VLOOKUP(C7,Logement!C4:AC8,8,0)</f>
        <v>#N/A</v>
      </c>
      <c r="G11" s="76" t="e">
        <f>VLOOKUP(C7,Logement!C4:AC8,11,0)</f>
        <v>#N/A</v>
      </c>
      <c r="H11" s="76" t="e">
        <f>VLOOKUP(C7,Logement!C4:AC8,9,0)</f>
        <v>#N/A</v>
      </c>
      <c r="I11" s="91" t="e">
        <f>TEXT(F11,"mmmm")</f>
        <v>#N/A</v>
      </c>
      <c r="J11" s="96" t="e">
        <f>IF(I11&lt;E24,"révision à étudier","Ce n'est pas le moment de reviser")</f>
        <v>#N/A</v>
      </c>
      <c r="K11" s="9" t="s">
        <v>95</v>
      </c>
      <c r="L11" s="642" t="s">
        <v>9</v>
      </c>
      <c r="M11" s="642"/>
      <c r="N11" s="135" t="s">
        <v>10</v>
      </c>
      <c r="O11" s="133" t="s">
        <v>11</v>
      </c>
      <c r="P11" s="190" t="s">
        <v>53</v>
      </c>
      <c r="Q11" s="134" t="s">
        <v>12</v>
      </c>
      <c r="R11" s="134"/>
      <c r="S11" s="642" t="s">
        <v>9</v>
      </c>
      <c r="T11" s="642"/>
      <c r="U11" s="135" t="s">
        <v>10</v>
      </c>
      <c r="V11" s="133" t="s">
        <v>11</v>
      </c>
      <c r="W11" s="190" t="s">
        <v>53</v>
      </c>
      <c r="X11" s="134" t="s">
        <v>12</v>
      </c>
      <c r="Y11" s="134"/>
      <c r="Z11" s="642" t="s">
        <v>9</v>
      </c>
      <c r="AA11" s="642"/>
      <c r="AB11" s="135" t="s">
        <v>10</v>
      </c>
      <c r="AC11" s="133" t="s">
        <v>11</v>
      </c>
      <c r="AD11" s="190" t="s">
        <v>53</v>
      </c>
      <c r="AE11" s="134" t="s">
        <v>12</v>
      </c>
      <c r="AG11" s="642" t="s">
        <v>9</v>
      </c>
      <c r="AH11" s="642"/>
      <c r="AI11" s="135" t="s">
        <v>10</v>
      </c>
      <c r="AJ11" s="133" t="s">
        <v>11</v>
      </c>
      <c r="AK11" s="190" t="s">
        <v>53</v>
      </c>
      <c r="AL11" s="134" t="s">
        <v>12</v>
      </c>
      <c r="AN11" s="642" t="s">
        <v>9</v>
      </c>
      <c r="AO11" s="642"/>
      <c r="AP11" s="135" t="s">
        <v>10</v>
      </c>
      <c r="AQ11" s="133" t="s">
        <v>11</v>
      </c>
      <c r="AR11" s="190" t="s">
        <v>53</v>
      </c>
      <c r="AS11" s="134" t="s">
        <v>12</v>
      </c>
    </row>
    <row r="12" spans="1:45">
      <c r="C12" s="161" t="s">
        <v>65</v>
      </c>
      <c r="D12" s="81" t="e">
        <f>VLOOKUP(C7,Logement!C4:AC8,12,0)</f>
        <v>#N/A</v>
      </c>
      <c r="F12" s="648" t="s">
        <v>81</v>
      </c>
      <c r="G12" s="649"/>
      <c r="H12" s="114" t="s">
        <v>80</v>
      </c>
      <c r="I12" s="393"/>
      <c r="J12" s="356"/>
      <c r="K12" s="356"/>
      <c r="L12" s="393" t="s">
        <v>9</v>
      </c>
      <c r="M12" s="76" t="s">
        <v>15</v>
      </c>
      <c r="N12" s="76"/>
      <c r="O12" s="13"/>
      <c r="Q12" s="71"/>
      <c r="U12" s="12"/>
      <c r="X12" s="12"/>
      <c r="Y12" s="12"/>
    </row>
    <row r="13" spans="1:45">
      <c r="G13" s="65" t="e">
        <f>IF(H11=1,Ind1_connu,IF(H11=2,Ind2_connu,IF(H11=3,Ind3_connu,IF(H11=4,Ind4_connu,"aa"))))</f>
        <v>#N/A</v>
      </c>
      <c r="H13" s="113" t="e">
        <f>(G13-G11)/G11</f>
        <v>#N/A</v>
      </c>
      <c r="I13" s="650" t="str">
        <f>recap_L1!A19</f>
        <v>Janvier</v>
      </c>
      <c r="J13" s="651"/>
      <c r="K13" s="651"/>
      <c r="L13" s="651"/>
      <c r="M13" s="652"/>
      <c r="N13" s="652"/>
      <c r="O13" s="653"/>
      <c r="P13" s="137">
        <f>recap_L1!H19</f>
        <v>0</v>
      </c>
      <c r="Q13" s="140">
        <f>recap_L1!J19</f>
        <v>0</v>
      </c>
      <c r="R13" s="156"/>
      <c r="S13" s="139" t="str">
        <f>recap_L2!B7</f>
        <v>400</v>
      </c>
      <c r="T13" s="139" t="str">
        <f>recap_L2!C7</f>
        <v>40</v>
      </c>
      <c r="U13" s="137" t="str">
        <f>recap_L2!D7</f>
        <v/>
      </c>
      <c r="V13" s="137" t="str">
        <f>recap_L2!F7</f>
        <v>850</v>
      </c>
      <c r="W13" s="137">
        <f>recap_L2!H7</f>
        <v>0</v>
      </c>
      <c r="X13" s="140" t="str">
        <f>recap_L2!J7</f>
        <v>410</v>
      </c>
      <c r="Y13" s="156"/>
      <c r="Z13" s="136">
        <f>recap_L3!B18</f>
        <v>380</v>
      </c>
      <c r="AA13" s="137">
        <f>recap_L3!C18</f>
        <v>70</v>
      </c>
      <c r="AB13" s="138">
        <f>recap_L3!D18</f>
        <v>272</v>
      </c>
      <c r="AC13" s="138" t="str">
        <f>recap_L3!F18</f>
        <v/>
      </c>
      <c r="AD13" s="137">
        <f>recap_L3!H18</f>
        <v>0</v>
      </c>
      <c r="AE13" s="140" t="str">
        <f>recap_L3!J18</f>
        <v>-471</v>
      </c>
      <c r="AF13" s="191"/>
      <c r="AM13" s="191"/>
    </row>
    <row r="14" spans="1:45">
      <c r="H14" s="14"/>
      <c r="I14" s="393"/>
      <c r="J14" s="394"/>
      <c r="K14" s="395" t="str">
        <f>recap_L1!A20</f>
        <v>Fevrier</v>
      </c>
      <c r="L14" s="396">
        <f>recap_L1!B20</f>
        <v>290</v>
      </c>
      <c r="M14" s="137">
        <f>recap_L1!C20</f>
        <v>50</v>
      </c>
      <c r="N14" s="138">
        <f>recap_L1!D20</f>
        <v>272</v>
      </c>
      <c r="O14" s="138">
        <f>recap_L1!F20</f>
        <v>68</v>
      </c>
      <c r="P14" s="137">
        <f>recap_L1!H20</f>
        <v>0</v>
      </c>
      <c r="Q14" s="140">
        <f>recap_L1!J20</f>
        <v>0</v>
      </c>
      <c r="R14" s="156"/>
      <c r="S14" s="139" t="str">
        <f>recap_L2!B8</f>
        <v>401</v>
      </c>
      <c r="T14" s="139" t="str">
        <f>recap_L2!C8</f>
        <v>41</v>
      </c>
      <c r="U14" s="137" t="str">
        <f>recap_L2!D8</f>
        <v/>
      </c>
      <c r="V14" s="137" t="str">
        <f>recap_L2!F8</f>
        <v>851</v>
      </c>
      <c r="W14" s="137">
        <f>recap_L2!H8</f>
        <v>0</v>
      </c>
      <c r="X14" s="140" t="str">
        <f>recap_L2!J8</f>
        <v>409</v>
      </c>
      <c r="Y14" s="156"/>
      <c r="Z14" s="136">
        <f>recap_L3!B20</f>
        <v>380</v>
      </c>
      <c r="AA14" s="137">
        <f>recap_L3!C20</f>
        <v>70</v>
      </c>
      <c r="AB14" s="138">
        <f>recap_L3!D20</f>
        <v>272</v>
      </c>
      <c r="AC14" s="138">
        <f>recap_L3!F20</f>
        <v>178</v>
      </c>
      <c r="AD14" s="137">
        <f>recap_L3!H20</f>
        <v>0</v>
      </c>
      <c r="AE14" s="140">
        <f>recap_L3!J20</f>
        <v>0</v>
      </c>
      <c r="AF14" s="191"/>
      <c r="AM14" s="191"/>
    </row>
    <row r="15" spans="1:45">
      <c r="H15" s="14"/>
      <c r="I15" s="393"/>
      <c r="J15" s="394"/>
      <c r="K15" s="395" t="str">
        <f>recap_L1!A21</f>
        <v>mars</v>
      </c>
      <c r="L15" s="396">
        <f>recap_L1!B21</f>
        <v>290</v>
      </c>
      <c r="M15" s="137">
        <f>recap_L1!C21</f>
        <v>50</v>
      </c>
      <c r="N15" s="138">
        <f>recap_L1!D21</f>
        <v>272</v>
      </c>
      <c r="O15" s="138">
        <f>recap_L1!F21</f>
        <v>68</v>
      </c>
      <c r="P15" s="137">
        <f>recap_L1!H21</f>
        <v>0</v>
      </c>
      <c r="Q15" s="140">
        <f>recap_L1!J21</f>
        <v>0</v>
      </c>
      <c r="R15" s="156"/>
      <c r="S15" s="139" t="str">
        <f>recap_L2!B9</f>
        <v>402</v>
      </c>
      <c r="T15" s="139" t="str">
        <f>recap_L2!C9</f>
        <v>42</v>
      </c>
      <c r="U15" s="137" t="str">
        <f>recap_L2!D9</f>
        <v/>
      </c>
      <c r="V15" s="137" t="str">
        <f>recap_L2!F9</f>
        <v>852</v>
      </c>
      <c r="W15" s="137">
        <f>recap_L2!H9</f>
        <v>0</v>
      </c>
      <c r="X15" s="140" t="str">
        <f>recap_L2!J9</f>
        <v>408</v>
      </c>
      <c r="Y15" s="156"/>
      <c r="Z15" s="136">
        <f>recap_L3!B21</f>
        <v>380</v>
      </c>
      <c r="AA15" s="137">
        <f>recap_L3!C21</f>
        <v>70</v>
      </c>
      <c r="AB15" s="138">
        <f>recap_L3!D21</f>
        <v>272</v>
      </c>
      <c r="AC15" s="138">
        <f>recap_L3!F21</f>
        <v>0</v>
      </c>
      <c r="AD15" s="137">
        <f>recap_L3!H21</f>
        <v>0</v>
      </c>
      <c r="AE15" s="140">
        <f>recap_L3!J21</f>
        <v>-178</v>
      </c>
      <c r="AF15" s="191"/>
      <c r="AM15" s="191"/>
    </row>
    <row r="16" spans="1:45">
      <c r="C16" s="112" t="s">
        <v>77</v>
      </c>
      <c r="H16" s="14"/>
      <c r="I16" s="12"/>
      <c r="J16" s="14"/>
      <c r="K16" s="132" t="str">
        <f>recap_L1!A22</f>
        <v>Avril</v>
      </c>
      <c r="L16" s="136">
        <f>recap_L1!B22</f>
        <v>290</v>
      </c>
      <c r="M16" s="137">
        <f>recap_L1!C22</f>
        <v>50</v>
      </c>
      <c r="N16" s="138">
        <f>recap_L1!D22</f>
        <v>272</v>
      </c>
      <c r="O16" s="138">
        <f>recap_L1!F22</f>
        <v>68</v>
      </c>
      <c r="P16" s="137">
        <f>recap_L1!H22</f>
        <v>0</v>
      </c>
      <c r="Q16" s="140">
        <f>recap_L1!J22</f>
        <v>0</v>
      </c>
      <c r="R16" s="156"/>
      <c r="S16" s="139" t="str">
        <f>recap_L2!B10</f>
        <v>403</v>
      </c>
      <c r="T16" s="139" t="str">
        <f>recap_L2!C10</f>
        <v>43</v>
      </c>
      <c r="U16" s="137" t="str">
        <f>recap_L2!D10</f>
        <v/>
      </c>
      <c r="V16" s="137" t="str">
        <f>recap_L2!F10</f>
        <v>853</v>
      </c>
      <c r="W16" s="137">
        <f>recap_L2!H10</f>
        <v>0</v>
      </c>
      <c r="X16" s="140" t="str">
        <f>recap_L2!J10</f>
        <v>407</v>
      </c>
      <c r="Y16" s="156"/>
      <c r="Z16" s="136">
        <f>recap_L3!B22</f>
        <v>380</v>
      </c>
      <c r="AA16" s="137">
        <f>recap_L3!C22</f>
        <v>70</v>
      </c>
      <c r="AB16" s="138">
        <f>recap_L3!D22</f>
        <v>329</v>
      </c>
      <c r="AC16" s="138">
        <f>recap_L3!F22</f>
        <v>120</v>
      </c>
      <c r="AD16" s="137">
        <f>recap_L3!H22</f>
        <v>0</v>
      </c>
      <c r="AE16" s="140">
        <f>recap_L3!J22</f>
        <v>-1</v>
      </c>
      <c r="AF16" s="191"/>
      <c r="AM16" s="191"/>
    </row>
    <row r="17" spans="1:61">
      <c r="A17" s="531"/>
      <c r="H17" s="14"/>
      <c r="I17" s="12"/>
      <c r="J17" s="14"/>
      <c r="K17" s="132" t="str">
        <f>recap_L1!A23</f>
        <v>Mai</v>
      </c>
      <c r="L17" s="136">
        <f>recap_L1!B23</f>
        <v>290</v>
      </c>
      <c r="M17" s="137">
        <f>recap_L1!C23</f>
        <v>50</v>
      </c>
      <c r="N17" s="138">
        <f>recap_L1!D23</f>
        <v>272</v>
      </c>
      <c r="O17" s="138">
        <f>recap_L1!F23</f>
        <v>68</v>
      </c>
      <c r="P17" s="137">
        <f>recap_L1!H23</f>
        <v>0</v>
      </c>
      <c r="Q17" s="140">
        <f>recap_L1!J23</f>
        <v>0</v>
      </c>
      <c r="R17" s="156"/>
      <c r="S17" s="139" t="str">
        <f>recap_L2!B11</f>
        <v>404</v>
      </c>
      <c r="T17" s="139" t="str">
        <f>recap_L2!C11</f>
        <v>44</v>
      </c>
      <c r="U17" s="137" t="str">
        <f>recap_L2!D11</f>
        <v/>
      </c>
      <c r="V17" s="137" t="str">
        <f>recap_L2!F11</f>
        <v>854</v>
      </c>
      <c r="W17" s="137">
        <f>recap_L2!H11</f>
        <v>0</v>
      </c>
      <c r="X17" s="140" t="str">
        <f>recap_L2!J11</f>
        <v>406</v>
      </c>
      <c r="Y17" s="156"/>
      <c r="Z17" s="136">
        <f>recap_L3!B23</f>
        <v>380</v>
      </c>
      <c r="AA17" s="137">
        <f>recap_L3!C23</f>
        <v>70</v>
      </c>
      <c r="AB17" s="138">
        <f>recap_L3!D23</f>
        <v>329</v>
      </c>
      <c r="AC17" s="138">
        <f>recap_L3!F23</f>
        <v>121</v>
      </c>
      <c r="AD17" s="137">
        <f>recap_L3!H23</f>
        <v>0</v>
      </c>
      <c r="AE17" s="140">
        <f>recap_L3!J23</f>
        <v>0</v>
      </c>
      <c r="AF17" s="191"/>
      <c r="AM17" s="191"/>
    </row>
    <row r="18" spans="1:61">
      <c r="C18" s="112" t="s">
        <v>79</v>
      </c>
      <c r="H18" s="14"/>
      <c r="I18" s="12"/>
      <c r="J18" s="14"/>
      <c r="K18" s="132" t="str">
        <f>recap_L1!A24</f>
        <v>Juin</v>
      </c>
      <c r="L18" s="136">
        <f>recap_L1!B24</f>
        <v>290</v>
      </c>
      <c r="M18" s="137">
        <f>recap_L1!C24</f>
        <v>50</v>
      </c>
      <c r="N18" s="138">
        <f>recap_L1!D24</f>
        <v>272</v>
      </c>
      <c r="O18" s="138">
        <f>recap_L1!F24</f>
        <v>68</v>
      </c>
      <c r="P18" s="137">
        <f>recap_L1!H24</f>
        <v>0</v>
      </c>
      <c r="Q18" s="140">
        <f>recap_L1!J24</f>
        <v>0</v>
      </c>
      <c r="R18" s="156"/>
      <c r="S18" s="139" t="str">
        <f>recap_L2!B12</f>
        <v>405</v>
      </c>
      <c r="T18" s="139" t="str">
        <f>recap_L2!C12</f>
        <v>45</v>
      </c>
      <c r="U18" s="137" t="str">
        <f>recap_L2!D12</f>
        <v/>
      </c>
      <c r="V18" s="137" t="str">
        <f>recap_L2!F12</f>
        <v>855</v>
      </c>
      <c r="W18" s="137">
        <f>recap_L2!H12</f>
        <v>0</v>
      </c>
      <c r="X18" s="140" t="str">
        <f>recap_L2!J12</f>
        <v>405</v>
      </c>
      <c r="Y18" s="156"/>
      <c r="Z18" s="136">
        <f>recap_L3!B24</f>
        <v>380</v>
      </c>
      <c r="AA18" s="137">
        <f>recap_L3!C24</f>
        <v>70</v>
      </c>
      <c r="AB18" s="138">
        <f>recap_L3!D24</f>
        <v>329</v>
      </c>
      <c r="AC18" s="138">
        <f>recap_L3!F24</f>
        <v>0</v>
      </c>
      <c r="AD18" s="137">
        <f>recap_L3!H24</f>
        <v>0</v>
      </c>
      <c r="AE18" s="140">
        <f>recap_L3!J24</f>
        <v>-121</v>
      </c>
      <c r="AF18" s="191"/>
      <c r="AM18" s="191"/>
    </row>
    <row r="19" spans="1:61">
      <c r="B19" s="337"/>
      <c r="H19" s="14"/>
      <c r="I19" s="12"/>
      <c r="J19" s="14"/>
      <c r="K19" s="132" t="str">
        <f>recap_L1!A25</f>
        <v>Juillet</v>
      </c>
      <c r="L19" s="136">
        <f>recap_L1!B25</f>
        <v>290</v>
      </c>
      <c r="M19" s="137">
        <f>recap_L1!C25</f>
        <v>50</v>
      </c>
      <c r="N19" s="138">
        <f>recap_L1!D25</f>
        <v>272</v>
      </c>
      <c r="O19" s="138">
        <f>recap_L1!F25</f>
        <v>68</v>
      </c>
      <c r="P19" s="137">
        <f>recap_L1!H25</f>
        <v>0</v>
      </c>
      <c r="Q19" s="140">
        <f>recap_L1!J25</f>
        <v>0</v>
      </c>
      <c r="R19" s="156"/>
      <c r="S19" s="139">
        <f>recap_L2!B13</f>
        <v>720</v>
      </c>
      <c r="T19" s="139">
        <f>recap_L2!C13</f>
        <v>130</v>
      </c>
      <c r="U19" s="137" t="str">
        <f>recap_L2!D13</f>
        <v/>
      </c>
      <c r="V19" s="137">
        <f>recap_L2!F13</f>
        <v>850</v>
      </c>
      <c r="W19" s="137">
        <f>recap_L2!H13</f>
        <v>0</v>
      </c>
      <c r="X19" s="140">
        <f>recap_L2!J13</f>
        <v>0</v>
      </c>
      <c r="Y19" s="156"/>
      <c r="Z19" s="136">
        <f>recap_L3!B25</f>
        <v>380</v>
      </c>
      <c r="AA19" s="137">
        <f>recap_L3!C25</f>
        <v>70</v>
      </c>
      <c r="AB19" s="138">
        <f>recap_L3!D25</f>
        <v>329</v>
      </c>
      <c r="AC19" s="138">
        <f>recap_L3!F25</f>
        <v>0</v>
      </c>
      <c r="AD19" s="137">
        <f>recap_L3!H25</f>
        <v>0</v>
      </c>
      <c r="AE19" s="140">
        <f>recap_L3!J25</f>
        <v>-121</v>
      </c>
      <c r="AF19" s="191"/>
      <c r="AM19" s="191"/>
    </row>
    <row r="20" spans="1:61">
      <c r="C20" s="62" t="s">
        <v>175</v>
      </c>
      <c r="H20" s="14"/>
      <c r="I20" s="12"/>
      <c r="J20" s="14"/>
      <c r="K20" s="132" t="str">
        <f>recap_L1!A26</f>
        <v>Aout</v>
      </c>
      <c r="L20" s="136">
        <f>recap_L1!B26</f>
        <v>290</v>
      </c>
      <c r="M20" s="137">
        <f>recap_L1!C26</f>
        <v>50</v>
      </c>
      <c r="N20" s="138">
        <f>recap_L1!D26</f>
        <v>272</v>
      </c>
      <c r="O20" s="138">
        <f>recap_L1!F26</f>
        <v>68</v>
      </c>
      <c r="P20" s="137">
        <f>recap_L1!H26</f>
        <v>0</v>
      </c>
      <c r="Q20" s="140">
        <f>recap_L1!J26</f>
        <v>0</v>
      </c>
      <c r="R20" s="156"/>
      <c r="S20" s="139">
        <f>recap_L2!B14</f>
        <v>720</v>
      </c>
      <c r="T20" s="139">
        <f>recap_L2!C14</f>
        <v>130</v>
      </c>
      <c r="U20" s="137" t="str">
        <f>recap_L2!D14</f>
        <v/>
      </c>
      <c r="V20" s="137">
        <f>recap_L2!F14</f>
        <v>850</v>
      </c>
      <c r="W20" s="137">
        <f>recap_L2!H14</f>
        <v>0</v>
      </c>
      <c r="X20" s="140">
        <f>recap_L2!J14</f>
        <v>0</v>
      </c>
      <c r="Y20" s="156"/>
      <c r="Z20" s="136">
        <f>recap_L3!B26</f>
        <v>380</v>
      </c>
      <c r="AA20" s="137">
        <f>recap_L3!C26</f>
        <v>70</v>
      </c>
      <c r="AB20" s="138">
        <f>recap_L3!D26</f>
        <v>0</v>
      </c>
      <c r="AC20" s="138">
        <f>recap_L3!F26</f>
        <v>0</v>
      </c>
      <c r="AD20" s="137">
        <f>recap_L3!H26</f>
        <v>0</v>
      </c>
      <c r="AE20" s="140">
        <f>recap_L3!J26</f>
        <v>-450</v>
      </c>
      <c r="AF20" s="191"/>
      <c r="AM20" s="191"/>
    </row>
    <row r="21" spans="1:61">
      <c r="F21" t="str">
        <f>IF(B21&gt;0,(D21+E21)-(B21+C21),"0")</f>
        <v>0</v>
      </c>
      <c r="H21" s="14"/>
      <c r="I21" s="12"/>
      <c r="J21" s="14"/>
      <c r="K21" s="132" t="str">
        <f>recap_L1!A27</f>
        <v>Septembre</v>
      </c>
      <c r="L21" s="136">
        <f>recap_L1!B27</f>
        <v>290</v>
      </c>
      <c r="M21" s="137">
        <f>recap_L1!C27</f>
        <v>50</v>
      </c>
      <c r="N21" s="138">
        <f>recap_L1!D27</f>
        <v>272</v>
      </c>
      <c r="O21" s="138">
        <f>recap_L1!F27</f>
        <v>68</v>
      </c>
      <c r="P21" s="137">
        <f>recap_L1!H27</f>
        <v>0</v>
      </c>
      <c r="Q21" s="140">
        <f>recap_L1!J27</f>
        <v>0</v>
      </c>
      <c r="R21" s="156"/>
      <c r="S21" s="139">
        <f>recap_L2!B15</f>
        <v>720</v>
      </c>
      <c r="T21" s="139">
        <v>1000</v>
      </c>
      <c r="U21" s="137" t="str">
        <f>recap_L2!D15</f>
        <v/>
      </c>
      <c r="V21" s="137">
        <f>recap_L2!F15</f>
        <v>850</v>
      </c>
      <c r="W21" s="137">
        <f>recap_L2!H15</f>
        <v>0</v>
      </c>
      <c r="X21" s="140">
        <f>recap_L2!J15</f>
        <v>0</v>
      </c>
      <c r="Y21" s="156"/>
      <c r="Z21" s="136">
        <f>recap_L3!B27</f>
        <v>390</v>
      </c>
      <c r="AA21" s="137">
        <f>recap_L3!C27</f>
        <v>70</v>
      </c>
      <c r="AB21" s="138">
        <f>recap_L3!D27</f>
        <v>0</v>
      </c>
      <c r="AC21" s="138">
        <f>recap_L3!F27</f>
        <v>460</v>
      </c>
      <c r="AD21" s="137">
        <f>recap_L3!H27</f>
        <v>0</v>
      </c>
      <c r="AE21" s="140">
        <f>recap_L3!J27</f>
        <v>0</v>
      </c>
      <c r="AF21" s="191"/>
      <c r="AM21" s="191"/>
      <c r="BI21" s="84"/>
    </row>
    <row r="22" spans="1:61">
      <c r="H22" s="14"/>
      <c r="I22" s="12"/>
      <c r="J22" s="14"/>
      <c r="K22" s="132" t="str">
        <f>recap_L1!A28</f>
        <v>Octobre</v>
      </c>
      <c r="L22" s="136">
        <f>recap_L1!B28</f>
        <v>290</v>
      </c>
      <c r="M22" s="137">
        <f>recap_L1!C28</f>
        <v>50</v>
      </c>
      <c r="N22" s="138">
        <f>recap_L1!D28</f>
        <v>272</v>
      </c>
      <c r="O22" s="138">
        <f>recap_L1!F28</f>
        <v>68</v>
      </c>
      <c r="P22" s="137">
        <f>recap_L1!H28</f>
        <v>0</v>
      </c>
      <c r="Q22" s="140">
        <f>recap_L1!J28</f>
        <v>0</v>
      </c>
      <c r="R22" s="156"/>
      <c r="S22" s="139">
        <f>recap_L2!B16</f>
        <v>720</v>
      </c>
      <c r="T22" s="139">
        <f>recap_L2!C16</f>
        <v>130</v>
      </c>
      <c r="U22" s="137" t="str">
        <f>recap_L2!D16</f>
        <v/>
      </c>
      <c r="V22" s="137">
        <f>recap_L2!F16</f>
        <v>850</v>
      </c>
      <c r="W22" s="137">
        <f>recap_L2!H16</f>
        <v>0</v>
      </c>
      <c r="X22" s="140">
        <f>recap_L2!J16</f>
        <v>0</v>
      </c>
      <c r="Y22" s="156"/>
      <c r="Z22" s="136">
        <f>recap_L3!B28</f>
        <v>390</v>
      </c>
      <c r="AA22" s="137">
        <f>recap_L3!C28</f>
        <v>70</v>
      </c>
      <c r="AB22" s="138">
        <f>recap_L3!D28</f>
        <v>0</v>
      </c>
      <c r="AC22" s="138">
        <f>recap_L3!F28</f>
        <v>460</v>
      </c>
      <c r="AD22" s="137">
        <f>recap_L3!H28</f>
        <v>0</v>
      </c>
      <c r="AE22" s="140">
        <f>recap_L3!J28</f>
        <v>0</v>
      </c>
      <c r="AF22" s="191"/>
      <c r="AM22" s="191"/>
      <c r="BI22" s="84"/>
    </row>
    <row r="23" spans="1:61">
      <c r="F23">
        <v>290</v>
      </c>
      <c r="H23" s="14"/>
      <c r="I23" s="12"/>
      <c r="J23" s="14"/>
      <c r="K23" s="132" t="str">
        <f>recap_L1!A29</f>
        <v>Novembre</v>
      </c>
      <c r="L23" s="136">
        <f>recap_L1!B29</f>
        <v>290</v>
      </c>
      <c r="M23" s="137">
        <f>recap_L1!C29</f>
        <v>50</v>
      </c>
      <c r="N23" s="138">
        <f>recap_L1!D29</f>
        <v>269</v>
      </c>
      <c r="O23" s="138">
        <f>recap_L1!F29</f>
        <v>71</v>
      </c>
      <c r="P23" s="137">
        <f>recap_L1!H29</f>
        <v>0</v>
      </c>
      <c r="Q23" s="140">
        <f>recap_L1!J29</f>
        <v>0</v>
      </c>
      <c r="R23" s="156"/>
      <c r="S23" s="139">
        <f>recap_L2!B17</f>
        <v>720</v>
      </c>
      <c r="T23" s="139">
        <f>recap_L2!C17</f>
        <v>130</v>
      </c>
      <c r="U23" s="137" t="str">
        <f>recap_L2!D17</f>
        <v/>
      </c>
      <c r="V23" s="137">
        <f>recap_L2!F17</f>
        <v>850</v>
      </c>
      <c r="W23" s="137">
        <f>recap_L2!H17</f>
        <v>0</v>
      </c>
      <c r="X23" s="140">
        <f>recap_L2!J17</f>
        <v>0</v>
      </c>
      <c r="Y23" s="156"/>
      <c r="Z23" s="136">
        <f>recap_L3!B29</f>
        <v>390</v>
      </c>
      <c r="AA23" s="137">
        <f>recap_L3!C29</f>
        <v>70</v>
      </c>
      <c r="AB23" s="139">
        <f>recap_L3!D29</f>
        <v>0</v>
      </c>
      <c r="AC23" s="138">
        <f>recap_L3!F29</f>
        <v>460</v>
      </c>
      <c r="AD23" s="137">
        <f>recap_L3!H29</f>
        <v>0</v>
      </c>
      <c r="AE23" s="140">
        <f>recap_L3!J29</f>
        <v>0</v>
      </c>
      <c r="AF23" s="191"/>
      <c r="AM23" s="191"/>
    </row>
    <row r="24" spans="1:61">
      <c r="B24" s="64" t="s">
        <v>48</v>
      </c>
      <c r="C24" s="644">
        <f ca="1">TODAY()</f>
        <v>43335</v>
      </c>
      <c r="D24" s="645"/>
      <c r="I24" s="13"/>
      <c r="J24" s="14"/>
      <c r="K24" s="132" t="str">
        <f>recap_L1!A30</f>
        <v>Decembre</v>
      </c>
      <c r="L24" s="136">
        <f>recap_L1!B30</f>
        <v>290</v>
      </c>
      <c r="M24" s="137">
        <f>recap_L1!C30</f>
        <v>50</v>
      </c>
      <c r="N24" s="138">
        <f>recap_L1!D30</f>
        <v>269</v>
      </c>
      <c r="O24" s="138">
        <f>recap_L1!F30</f>
        <v>71</v>
      </c>
      <c r="P24" s="137">
        <f>recap_L1!H30</f>
        <v>0</v>
      </c>
      <c r="Q24" s="140">
        <f>recap_L1!J30</f>
        <v>0</v>
      </c>
      <c r="R24" s="156"/>
      <c r="S24" s="139">
        <f>recap_L2!B18</f>
        <v>720</v>
      </c>
      <c r="T24" s="139">
        <f>recap_L2!C18</f>
        <v>130</v>
      </c>
      <c r="U24" s="137" t="str">
        <f>recap_L2!D18</f>
        <v/>
      </c>
      <c r="V24" s="137">
        <f>recap_L2!F18</f>
        <v>850</v>
      </c>
      <c r="W24" s="137">
        <f>recap_L2!H18</f>
        <v>0</v>
      </c>
      <c r="X24" s="140">
        <f>recap_L2!J18</f>
        <v>0</v>
      </c>
      <c r="Y24" s="156"/>
      <c r="Z24" s="136">
        <f>recap_L3!B30</f>
        <v>390</v>
      </c>
      <c r="AA24" s="137">
        <f>recap_L3!C30</f>
        <v>70</v>
      </c>
      <c r="AB24" s="138">
        <f>recap_L3!D30</f>
        <v>0</v>
      </c>
      <c r="AC24" s="138">
        <f>recap_L3!F30</f>
        <v>460</v>
      </c>
      <c r="AD24" s="137">
        <f>recap_L3!H30</f>
        <v>0</v>
      </c>
      <c r="AE24" s="140">
        <f>recap_L3!J30</f>
        <v>0</v>
      </c>
      <c r="AF24" s="191"/>
      <c r="AM24" s="191"/>
    </row>
    <row r="25" spans="1:61">
      <c r="F25">
        <v>270</v>
      </c>
      <c r="Q25" s="71"/>
    </row>
    <row r="26" spans="1:61">
      <c r="N26" s="148">
        <f>SUM(N13:N25)</f>
        <v>2986</v>
      </c>
      <c r="O26" s="148">
        <f>SUM(O13:O25)</f>
        <v>754</v>
      </c>
      <c r="Q26" s="71"/>
      <c r="T26" s="148">
        <f>SUM(T13:T25)</f>
        <v>1650</v>
      </c>
      <c r="U26" s="148">
        <f>SUM(U13:U25)</f>
        <v>0</v>
      </c>
      <c r="AA26" s="148">
        <f>SUM(AA13:AA25)</f>
        <v>840</v>
      </c>
    </row>
    <row r="27" spans="1:61">
      <c r="Q27" s="71"/>
    </row>
    <row r="28" spans="1:61">
      <c r="Q28" s="71"/>
    </row>
    <row r="29" spans="1:61">
      <c r="Q29" s="71"/>
    </row>
    <row r="31" spans="1:61">
      <c r="B31" s="457"/>
    </row>
    <row r="33" spans="1:10">
      <c r="F33" s="65"/>
      <c r="J33" s="509"/>
    </row>
    <row r="47" spans="1:10">
      <c r="A47" s="415"/>
    </row>
    <row r="50" spans="1:1">
      <c r="A50" s="415"/>
    </row>
    <row r="52" spans="1:1">
      <c r="A52" s="415"/>
    </row>
  </sheetData>
  <dataConsolidate/>
  <mergeCells count="15">
    <mergeCell ref="AN10:AS10"/>
    <mergeCell ref="AN11:AO11"/>
    <mergeCell ref="AG10:AL10"/>
    <mergeCell ref="AG11:AH11"/>
    <mergeCell ref="L11:M11"/>
    <mergeCell ref="Z10:AE10"/>
    <mergeCell ref="Z11:AA11"/>
    <mergeCell ref="L8:AD8"/>
    <mergeCell ref="L10:Q10"/>
    <mergeCell ref="S11:T11"/>
    <mergeCell ref="S10:X10"/>
    <mergeCell ref="C24:D24"/>
    <mergeCell ref="F9:H9"/>
    <mergeCell ref="F12:G12"/>
    <mergeCell ref="I13:O13"/>
  </mergeCells>
  <conditionalFormatting sqref="Q23 R13:R24">
    <cfRule type="cellIs" dxfId="131" priority="16" operator="greaterThan">
      <formula>0</formula>
    </cfRule>
  </conditionalFormatting>
  <conditionalFormatting sqref="Q22">
    <cfRule type="cellIs" dxfId="130" priority="15" operator="greaterThan">
      <formula>0</formula>
    </cfRule>
  </conditionalFormatting>
  <conditionalFormatting sqref="Q24">
    <cfRule type="cellIs" dxfId="129" priority="14" operator="greaterThan">
      <formula>0</formula>
    </cfRule>
  </conditionalFormatting>
  <conditionalFormatting sqref="Q13:Q21">
    <cfRule type="cellIs" dxfId="128" priority="13" operator="greaterThan">
      <formula>0</formula>
    </cfRule>
  </conditionalFormatting>
  <conditionalFormatting sqref="X13:Y24">
    <cfRule type="cellIs" dxfId="127" priority="12" operator="greaterThan">
      <formula>0</formula>
    </cfRule>
  </conditionalFormatting>
  <conditionalFormatting sqref="AE13">
    <cfRule type="cellIs" dxfId="126" priority="3" operator="greaterThan">
      <formula>0</formula>
    </cfRule>
  </conditionalFormatting>
  <conditionalFormatting sqref="AE14:AE24">
    <cfRule type="cellIs" dxfId="125" priority="2" operator="greaterThan">
      <formula>0</formula>
    </cfRule>
  </conditionalFormatting>
  <dataValidations disablePrompts="1" count="1">
    <dataValidation type="list" allowBlank="1" showInputMessage="1" showErrorMessage="1" sqref="C7">
      <formula1>Liste_appart</formula1>
    </dataValidation>
  </dataValidations>
  <hyperlinks>
    <hyperlink ref="J7" location="MOP!A1" display="Mode opératoire"/>
    <hyperlink ref="C16" location="recap!A1" display="Récapitulatif"/>
    <hyperlink ref="C18" location="Attestation_L1!A1" display="Attestation loyers"/>
  </hyperlinks>
  <pageMargins left="0.7" right="0.7" top="0.75" bottom="0.75" header="0.3" footer="0.3"/>
  <pageSetup paperSize="9" scale="40" orientation="landscape"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3:K69"/>
  <sheetViews>
    <sheetView workbookViewId="0">
      <selection activeCell="I26" sqref="I26"/>
    </sheetView>
  </sheetViews>
  <sheetFormatPr baseColWidth="10" defaultRowHeight="12.75"/>
  <cols>
    <col min="1" max="1" width="10" customWidth="1"/>
    <col min="10" max="10" width="89.42578125" customWidth="1"/>
    <col min="11" max="11" width="40.42578125" customWidth="1"/>
  </cols>
  <sheetData>
    <row r="3" spans="1:9">
      <c r="A3" s="194" t="s">
        <v>160</v>
      </c>
    </row>
    <row r="4" spans="1:9">
      <c r="B4" t="s">
        <v>159</v>
      </c>
    </row>
    <row r="5" spans="1:9">
      <c r="B5" t="s">
        <v>158</v>
      </c>
    </row>
    <row r="6" spans="1:9">
      <c r="B6" t="s">
        <v>161</v>
      </c>
      <c r="I6" t="s">
        <v>628</v>
      </c>
    </row>
    <row r="7" spans="1:9">
      <c r="B7" t="s">
        <v>205</v>
      </c>
    </row>
    <row r="8" spans="1:9">
      <c r="B8" t="s">
        <v>206</v>
      </c>
    </row>
    <row r="9" spans="1:9">
      <c r="A9" s="141" t="s">
        <v>171</v>
      </c>
    </row>
    <row r="10" spans="1:9">
      <c r="A10" s="195">
        <v>42376</v>
      </c>
      <c r="B10" t="s">
        <v>172</v>
      </c>
    </row>
    <row r="11" spans="1:9">
      <c r="A11" s="195">
        <v>42407</v>
      </c>
      <c r="B11" t="s">
        <v>174</v>
      </c>
    </row>
    <row r="12" spans="1:9">
      <c r="B12" t="s">
        <v>204</v>
      </c>
    </row>
    <row r="15" spans="1:9">
      <c r="A15" s="116"/>
    </row>
    <row r="16" spans="1:9">
      <c r="B16" s="260" t="s">
        <v>233</v>
      </c>
    </row>
    <row r="17" spans="1:11">
      <c r="A17" s="18" t="s">
        <v>730</v>
      </c>
      <c r="C17" t="s">
        <v>231</v>
      </c>
      <c r="D17" t="s">
        <v>232</v>
      </c>
      <c r="E17" s="457" t="s">
        <v>610</v>
      </c>
    </row>
    <row r="18" spans="1:11">
      <c r="A18" s="116" t="s">
        <v>657</v>
      </c>
      <c r="C18" s="470" t="s">
        <v>621</v>
      </c>
      <c r="J18" s="469"/>
    </row>
    <row r="19" spans="1:11">
      <c r="C19" s="470" t="s">
        <v>623</v>
      </c>
      <c r="J19" s="469"/>
      <c r="K19" s="470"/>
    </row>
    <row r="20" spans="1:11" s="468" customFormat="1">
      <c r="A20" s="18" t="s">
        <v>730</v>
      </c>
      <c r="C20" s="470" t="s">
        <v>626</v>
      </c>
      <c r="J20" s="469"/>
      <c r="K20" s="470"/>
    </row>
    <row r="21" spans="1:11" s="468" customFormat="1">
      <c r="A21" s="116" t="s">
        <v>716</v>
      </c>
      <c r="C21" s="470" t="s">
        <v>715</v>
      </c>
      <c r="J21" s="469"/>
      <c r="K21" s="470"/>
    </row>
    <row r="22" spans="1:11" s="509" customFormat="1">
      <c r="C22" s="509" t="s">
        <v>904</v>
      </c>
    </row>
    <row r="23" spans="1:11" s="509" customFormat="1">
      <c r="C23" s="509" t="s">
        <v>853</v>
      </c>
      <c r="D23" s="509" t="s">
        <v>854</v>
      </c>
    </row>
    <row r="24" spans="1:11" s="509" customFormat="1">
      <c r="A24" s="116"/>
      <c r="C24" s="636"/>
      <c r="J24" s="637"/>
      <c r="K24" s="636"/>
    </row>
    <row r="25" spans="1:11" s="509" customFormat="1">
      <c r="A25" s="116"/>
      <c r="B25" s="260" t="s">
        <v>283</v>
      </c>
      <c r="C25" s="528"/>
      <c r="J25" s="527"/>
      <c r="K25" s="528"/>
    </row>
    <row r="26" spans="1:11" s="509" customFormat="1">
      <c r="A26" s="18" t="s">
        <v>730</v>
      </c>
      <c r="C26" s="528" t="s">
        <v>855</v>
      </c>
      <c r="J26" s="527"/>
      <c r="K26" s="528"/>
    </row>
    <row r="27" spans="1:11" s="509" customFormat="1">
      <c r="A27" s="116" t="s">
        <v>716</v>
      </c>
      <c r="C27" s="528" t="s">
        <v>729</v>
      </c>
      <c r="J27" s="527"/>
      <c r="K27" s="528"/>
    </row>
    <row r="28" spans="1:11" s="509" customFormat="1">
      <c r="A28" s="116"/>
      <c r="C28" s="528"/>
      <c r="J28" s="527"/>
      <c r="K28" s="528"/>
    </row>
    <row r="29" spans="1:11" ht="12" customHeight="1">
      <c r="A29" s="116"/>
      <c r="B29" s="260" t="s">
        <v>5</v>
      </c>
      <c r="C29" s="2" t="s">
        <v>611</v>
      </c>
    </row>
    <row r="30" spans="1:11">
      <c r="A30" s="116"/>
      <c r="C30" s="2" t="s">
        <v>901</v>
      </c>
      <c r="F30" s="269"/>
    </row>
    <row r="31" spans="1:11">
      <c r="C31" t="s">
        <v>633</v>
      </c>
    </row>
    <row r="32" spans="1:11" s="509" customFormat="1">
      <c r="A32" s="116"/>
      <c r="C32" s="509" t="s">
        <v>902</v>
      </c>
    </row>
    <row r="33" spans="1:3">
      <c r="A33" t="s">
        <v>658</v>
      </c>
      <c r="C33" t="s">
        <v>646</v>
      </c>
    </row>
    <row r="34" spans="1:3">
      <c r="C34" t="s">
        <v>614</v>
      </c>
    </row>
    <row r="35" spans="1:3" s="468" customFormat="1">
      <c r="C35" s="468" t="s">
        <v>627</v>
      </c>
    </row>
    <row r="36" spans="1:3" s="509" customFormat="1">
      <c r="C36" s="509" t="s">
        <v>731</v>
      </c>
    </row>
    <row r="37" spans="1:3" s="509" customFormat="1">
      <c r="A37" s="116"/>
      <c r="C37" s="509" t="s">
        <v>848</v>
      </c>
    </row>
    <row r="38" spans="1:3" s="509" customFormat="1">
      <c r="A38" s="116"/>
      <c r="C38" s="509" t="s">
        <v>850</v>
      </c>
    </row>
    <row r="39" spans="1:3" s="509" customFormat="1">
      <c r="A39" s="116"/>
      <c r="C39" s="509" t="s">
        <v>903</v>
      </c>
    </row>
    <row r="40" spans="1:3" s="509" customFormat="1">
      <c r="A40" s="116"/>
      <c r="C40" s="509" t="s">
        <v>905</v>
      </c>
    </row>
    <row r="41" spans="1:3" s="509" customFormat="1"/>
    <row r="42" spans="1:3" s="509" customFormat="1">
      <c r="B42" s="260" t="s">
        <v>908</v>
      </c>
    </row>
    <row r="43" spans="1:3">
      <c r="C43" t="s">
        <v>909</v>
      </c>
    </row>
    <row r="44" spans="1:3" s="509" customFormat="1"/>
    <row r="45" spans="1:3" s="468" customFormat="1">
      <c r="B45" s="260" t="s">
        <v>615</v>
      </c>
    </row>
    <row r="46" spans="1:3">
      <c r="C46" t="s">
        <v>616</v>
      </c>
    </row>
    <row r="47" spans="1:3">
      <c r="C47" t="s">
        <v>906</v>
      </c>
    </row>
    <row r="48" spans="1:3">
      <c r="C48" t="s">
        <v>617</v>
      </c>
    </row>
    <row r="49" spans="1:4">
      <c r="C49" t="s">
        <v>907</v>
      </c>
    </row>
    <row r="50" spans="1:4">
      <c r="C50" t="s">
        <v>743</v>
      </c>
      <c r="D50" t="s">
        <v>618</v>
      </c>
    </row>
    <row r="51" spans="1:4">
      <c r="D51" t="s">
        <v>619</v>
      </c>
    </row>
    <row r="52" spans="1:4">
      <c r="C52" t="s">
        <v>620</v>
      </c>
    </row>
    <row r="53" spans="1:4" s="509" customFormat="1"/>
    <row r="54" spans="1:4" s="509" customFormat="1">
      <c r="B54" s="260" t="s">
        <v>284</v>
      </c>
    </row>
    <row r="55" spans="1:4" s="509" customFormat="1">
      <c r="A55" s="457" t="s">
        <v>734</v>
      </c>
      <c r="C55" s="509" t="s">
        <v>732</v>
      </c>
    </row>
    <row r="56" spans="1:4" s="509" customFormat="1">
      <c r="C56" s="509" t="s">
        <v>733</v>
      </c>
    </row>
    <row r="57" spans="1:4" s="509" customFormat="1"/>
    <row r="58" spans="1:4">
      <c r="B58" s="260" t="s">
        <v>15</v>
      </c>
    </row>
    <row r="59" spans="1:4">
      <c r="C59" t="s">
        <v>670</v>
      </c>
    </row>
    <row r="60" spans="1:4">
      <c r="C60" t="s">
        <v>671</v>
      </c>
    </row>
    <row r="61" spans="1:4" s="509" customFormat="1">
      <c r="C61" s="509" t="s">
        <v>851</v>
      </c>
    </row>
    <row r="63" spans="1:4">
      <c r="A63" s="141" t="s">
        <v>269</v>
      </c>
    </row>
    <row r="64" spans="1:4">
      <c r="B64" t="s">
        <v>852</v>
      </c>
      <c r="D64" s="147"/>
    </row>
    <row r="65" spans="1:2">
      <c r="B65" s="18" t="s">
        <v>612</v>
      </c>
    </row>
    <row r="66" spans="1:2">
      <c r="B66" t="s">
        <v>849</v>
      </c>
    </row>
    <row r="67" spans="1:2" s="509" customFormat="1"/>
    <row r="68" spans="1:2">
      <c r="A68" s="312">
        <v>1008</v>
      </c>
    </row>
    <row r="69" spans="1:2">
      <c r="B69" t="s">
        <v>364</v>
      </c>
    </row>
  </sheetData>
  <pageMargins left="0" right="0" top="0" bottom="0" header="0.31496062992125984" footer="0"/>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3:I9"/>
  <sheetViews>
    <sheetView topLeftCell="A8" workbookViewId="0">
      <selection activeCell="A9" sqref="A9"/>
    </sheetView>
  </sheetViews>
  <sheetFormatPr baseColWidth="10" defaultRowHeight="12.75"/>
  <cols>
    <col min="1" max="1" width="37" customWidth="1"/>
    <col min="2" max="2" width="9.28515625" customWidth="1"/>
    <col min="8" max="8" width="143" customWidth="1"/>
  </cols>
  <sheetData>
    <row r="3" spans="1:9" ht="102" customHeight="1">
      <c r="A3" s="511" t="s">
        <v>621</v>
      </c>
      <c r="B3" s="525" t="s">
        <v>683</v>
      </c>
      <c r="C3" s="509"/>
      <c r="D3" s="509"/>
      <c r="E3" s="509"/>
      <c r="F3" s="509"/>
      <c r="G3" s="509"/>
      <c r="H3" s="145" t="s">
        <v>622</v>
      </c>
      <c r="I3" s="509"/>
    </row>
    <row r="4" spans="1:9" ht="123" customHeight="1">
      <c r="A4" s="511" t="s">
        <v>623</v>
      </c>
      <c r="B4" s="509"/>
      <c r="C4" s="509"/>
      <c r="D4" s="509"/>
      <c r="E4" s="509"/>
      <c r="F4" s="509"/>
      <c r="G4" s="509"/>
      <c r="H4" s="145" t="s">
        <v>624</v>
      </c>
      <c r="I4" s="511" t="s">
        <v>625</v>
      </c>
    </row>
    <row r="5" spans="1:9" ht="229.5">
      <c r="A5" s="515" t="s">
        <v>681</v>
      </c>
      <c r="H5" s="516" t="s">
        <v>688</v>
      </c>
    </row>
    <row r="6" spans="1:9" ht="165.75">
      <c r="A6" s="515" t="s">
        <v>682</v>
      </c>
      <c r="C6" s="517" t="s">
        <v>684</v>
      </c>
      <c r="H6" s="516" t="s">
        <v>685</v>
      </c>
    </row>
    <row r="7" spans="1:9" ht="267.75">
      <c r="A7" s="515" t="s">
        <v>686</v>
      </c>
      <c r="H7" s="516" t="s">
        <v>687</v>
      </c>
    </row>
    <row r="8" spans="1:9" ht="165.75">
      <c r="A8" s="515" t="s">
        <v>689</v>
      </c>
      <c r="H8" s="516" t="s">
        <v>690</v>
      </c>
    </row>
    <row r="9" spans="1:9" ht="127.5">
      <c r="A9" s="526" t="s">
        <v>691</v>
      </c>
      <c r="H9" s="516" t="s">
        <v>692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E37"/>
  <sheetViews>
    <sheetView topLeftCell="A10" workbookViewId="0">
      <selection activeCell="C54" sqref="C54"/>
    </sheetView>
  </sheetViews>
  <sheetFormatPr baseColWidth="10" defaultRowHeight="12.75"/>
  <cols>
    <col min="1" max="1" width="9.42578125" customWidth="1"/>
  </cols>
  <sheetData>
    <row r="1" spans="1:5">
      <c r="A1" s="105" t="s">
        <v>61</v>
      </c>
    </row>
    <row r="3" spans="1:5">
      <c r="A3" t="s">
        <v>143</v>
      </c>
    </row>
    <row r="4" spans="1:5">
      <c r="A4" s="2" t="s">
        <v>82</v>
      </c>
    </row>
    <row r="5" spans="1:5">
      <c r="B5" t="s">
        <v>85</v>
      </c>
      <c r="E5" s="186" t="s">
        <v>144</v>
      </c>
    </row>
    <row r="6" spans="1:5">
      <c r="C6" t="s">
        <v>84</v>
      </c>
    </row>
    <row r="7" spans="1:5">
      <c r="C7" t="s">
        <v>83</v>
      </c>
    </row>
    <row r="9" spans="1:5">
      <c r="B9" t="s">
        <v>86</v>
      </c>
    </row>
    <row r="10" spans="1:5">
      <c r="C10" t="s">
        <v>87</v>
      </c>
    </row>
    <row r="11" spans="1:5">
      <c r="C11" t="s">
        <v>145</v>
      </c>
    </row>
    <row r="13" spans="1:5">
      <c r="B13" t="s">
        <v>155</v>
      </c>
    </row>
    <row r="14" spans="1:5">
      <c r="C14" t="s">
        <v>156</v>
      </c>
    </row>
    <row r="15" spans="1:5">
      <c r="C15" t="s">
        <v>157</v>
      </c>
    </row>
    <row r="19" spans="1:3">
      <c r="A19" s="2" t="s">
        <v>88</v>
      </c>
    </row>
    <row r="20" spans="1:3">
      <c r="B20" t="s">
        <v>146</v>
      </c>
    </row>
    <row r="21" spans="1:3">
      <c r="C21" t="s">
        <v>89</v>
      </c>
    </row>
    <row r="22" spans="1:3">
      <c r="C22" t="s">
        <v>90</v>
      </c>
    </row>
    <row r="23" spans="1:3">
      <c r="B23" t="s">
        <v>170</v>
      </c>
    </row>
    <row r="24" spans="1:3">
      <c r="C24" t="s">
        <v>162</v>
      </c>
    </row>
    <row r="25" spans="1:3">
      <c r="C25" t="s">
        <v>167</v>
      </c>
    </row>
    <row r="26" spans="1:3">
      <c r="C26" t="s">
        <v>169</v>
      </c>
    </row>
    <row r="27" spans="1:3">
      <c r="C27" t="s">
        <v>168</v>
      </c>
    </row>
    <row r="30" spans="1:3">
      <c r="A30" s="2" t="s">
        <v>91</v>
      </c>
    </row>
    <row r="31" spans="1:3">
      <c r="B31" t="s">
        <v>163</v>
      </c>
    </row>
    <row r="32" spans="1:3">
      <c r="B32" t="s">
        <v>164</v>
      </c>
    </row>
    <row r="33" spans="1:2">
      <c r="B33" t="s">
        <v>165</v>
      </c>
    </row>
    <row r="35" spans="1:2">
      <c r="A35" s="116" t="s">
        <v>166</v>
      </c>
    </row>
    <row r="36" spans="1:2">
      <c r="B36" t="s">
        <v>92</v>
      </c>
    </row>
    <row r="37" spans="1:2">
      <c r="B37" s="115" t="s">
        <v>93</v>
      </c>
    </row>
  </sheetData>
  <hyperlinks>
    <hyperlink ref="A1" location="Accueil!A1" display="Accueil"/>
    <hyperlink ref="B37"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P69"/>
  <sheetViews>
    <sheetView topLeftCell="A16" workbookViewId="0">
      <selection activeCell="K66" sqref="K66"/>
    </sheetView>
  </sheetViews>
  <sheetFormatPr baseColWidth="10" defaultRowHeight="12.75"/>
  <cols>
    <col min="1" max="1" width="5.85546875" customWidth="1"/>
    <col min="2" max="2" width="4.42578125" customWidth="1"/>
    <col min="3" max="3" width="5" customWidth="1"/>
    <col min="4" max="4" width="5.7109375" customWidth="1"/>
    <col min="5" max="5" width="5.140625" customWidth="1"/>
    <col min="6" max="6" width="3.85546875" customWidth="1"/>
    <col min="13" max="13" width="14.28515625" customWidth="1"/>
    <col min="17" max="17" width="21.42578125" customWidth="1"/>
  </cols>
  <sheetData>
    <row r="1" spans="1:14">
      <c r="A1" s="2" t="s">
        <v>280</v>
      </c>
      <c r="K1" t="s">
        <v>331</v>
      </c>
      <c r="L1" s="356" t="s">
        <v>332</v>
      </c>
      <c r="N1" t="s">
        <v>337</v>
      </c>
    </row>
    <row r="2" spans="1:14">
      <c r="B2" s="116" t="s">
        <v>281</v>
      </c>
      <c r="D2" t="s">
        <v>282</v>
      </c>
      <c r="K2" t="s">
        <v>334</v>
      </c>
      <c r="L2" s="356" t="s">
        <v>333</v>
      </c>
      <c r="N2" t="s">
        <v>338</v>
      </c>
    </row>
    <row r="3" spans="1:14">
      <c r="B3" s="116"/>
      <c r="K3" t="s">
        <v>335</v>
      </c>
      <c r="L3" s="356" t="s">
        <v>336</v>
      </c>
    </row>
    <row r="4" spans="1:14">
      <c r="B4" s="116" t="s">
        <v>5</v>
      </c>
    </row>
    <row r="5" spans="1:14">
      <c r="B5" s="116"/>
      <c r="C5" s="2" t="s">
        <v>568</v>
      </c>
    </row>
    <row r="6" spans="1:14">
      <c r="B6" s="116"/>
      <c r="C6" s="2"/>
      <c r="D6" t="s">
        <v>569</v>
      </c>
    </row>
    <row r="7" spans="1:14">
      <c r="B7" s="116" t="s">
        <v>11</v>
      </c>
    </row>
    <row r="8" spans="1:14">
      <c r="B8" s="116"/>
      <c r="C8" s="2" t="s">
        <v>386</v>
      </c>
    </row>
    <row r="9" spans="1:14">
      <c r="B9" s="116"/>
      <c r="D9" t="s">
        <v>387</v>
      </c>
    </row>
    <row r="10" spans="1:14">
      <c r="B10" s="116"/>
    </row>
    <row r="11" spans="1:14">
      <c r="B11" s="116"/>
    </row>
    <row r="12" spans="1:14">
      <c r="B12" s="116" t="s">
        <v>283</v>
      </c>
      <c r="E12" t="s">
        <v>417</v>
      </c>
    </row>
    <row r="13" spans="1:14">
      <c r="B13" s="116"/>
      <c r="C13" s="2" t="s">
        <v>287</v>
      </c>
    </row>
    <row r="14" spans="1:14">
      <c r="B14" s="116"/>
      <c r="D14" t="s">
        <v>288</v>
      </c>
      <c r="G14" t="s">
        <v>290</v>
      </c>
    </row>
    <row r="15" spans="1:14">
      <c r="B15" s="116"/>
      <c r="E15" t="s">
        <v>464</v>
      </c>
    </row>
    <row r="16" spans="1:14">
      <c r="B16" s="116"/>
      <c r="E16" t="s">
        <v>465</v>
      </c>
    </row>
    <row r="17" spans="2:9">
      <c r="B17" s="116"/>
      <c r="D17" t="s">
        <v>289</v>
      </c>
      <c r="G17" t="s">
        <v>291</v>
      </c>
    </row>
    <row r="18" spans="2:9">
      <c r="B18" s="116"/>
      <c r="D18" t="s">
        <v>393</v>
      </c>
    </row>
    <row r="19" spans="2:9">
      <c r="B19" s="116"/>
      <c r="E19" t="s">
        <v>394</v>
      </c>
      <c r="I19" t="s">
        <v>396</v>
      </c>
    </row>
    <row r="20" spans="2:9">
      <c r="B20" s="116"/>
      <c r="F20" t="s">
        <v>395</v>
      </c>
      <c r="I20" t="s">
        <v>292</v>
      </c>
    </row>
    <row r="21" spans="2:9" ht="15">
      <c r="B21" s="116"/>
      <c r="D21" s="357" t="s">
        <v>305</v>
      </c>
    </row>
    <row r="22" spans="2:9" ht="15">
      <c r="B22" s="116"/>
      <c r="E22" s="358" t="s">
        <v>418</v>
      </c>
    </row>
    <row r="23" spans="2:9">
      <c r="B23" s="116"/>
      <c r="F23" t="s">
        <v>409</v>
      </c>
    </row>
    <row r="24" spans="2:9">
      <c r="B24" s="116"/>
      <c r="F24" t="s">
        <v>410</v>
      </c>
    </row>
    <row r="25" spans="2:9">
      <c r="B25" s="116"/>
      <c r="F25" t="s">
        <v>411</v>
      </c>
    </row>
    <row r="26" spans="2:9">
      <c r="B26" s="116"/>
      <c r="D26" s="2" t="s">
        <v>413</v>
      </c>
    </row>
    <row r="27" spans="2:9">
      <c r="B27" s="116"/>
      <c r="E27" t="s">
        <v>414</v>
      </c>
    </row>
    <row r="28" spans="2:9">
      <c r="B28" s="116"/>
      <c r="F28" t="s">
        <v>410</v>
      </c>
    </row>
    <row r="29" spans="2:9">
      <c r="B29" s="116"/>
      <c r="F29" t="s">
        <v>412</v>
      </c>
    </row>
    <row r="30" spans="2:9">
      <c r="B30" s="116"/>
      <c r="D30" s="2" t="s">
        <v>154</v>
      </c>
    </row>
    <row r="31" spans="2:9">
      <c r="B31" s="116"/>
      <c r="E31" t="s">
        <v>415</v>
      </c>
    </row>
    <row r="32" spans="2:9">
      <c r="B32" s="116"/>
      <c r="F32" t="s">
        <v>416</v>
      </c>
    </row>
    <row r="33" spans="1:16">
      <c r="B33" s="116"/>
      <c r="G33" t="s">
        <v>419</v>
      </c>
    </row>
    <row r="34" spans="1:16">
      <c r="B34" s="116"/>
    </row>
    <row r="35" spans="1:16">
      <c r="B35" s="116"/>
    </row>
    <row r="36" spans="1:16">
      <c r="B36" s="116" t="s">
        <v>284</v>
      </c>
    </row>
    <row r="37" spans="1:16">
      <c r="B37" s="116"/>
      <c r="C37" t="s">
        <v>486</v>
      </c>
    </row>
    <row r="38" spans="1:16">
      <c r="B38" s="116"/>
      <c r="D38" t="s">
        <v>487</v>
      </c>
    </row>
    <row r="39" spans="1:16">
      <c r="B39" s="116"/>
    </row>
    <row r="40" spans="1:16">
      <c r="B40" s="116"/>
    </row>
    <row r="41" spans="1:16">
      <c r="B41" s="116"/>
      <c r="C41" t="s">
        <v>485</v>
      </c>
    </row>
    <row r="42" spans="1:16">
      <c r="B42" s="116"/>
      <c r="D42" t="s">
        <v>488</v>
      </c>
    </row>
    <row r="43" spans="1:16">
      <c r="B43" s="116" t="s">
        <v>285</v>
      </c>
    </row>
    <row r="44" spans="1:16">
      <c r="B44" s="116"/>
    </row>
    <row r="45" spans="1:16">
      <c r="B45" s="116" t="s">
        <v>286</v>
      </c>
    </row>
    <row r="46" spans="1:16">
      <c r="P46" t="s">
        <v>599</v>
      </c>
    </row>
    <row r="47" spans="1:16">
      <c r="A47" s="458" t="s">
        <v>573</v>
      </c>
      <c r="B47" s="459"/>
      <c r="C47" s="459"/>
    </row>
    <row r="48" spans="1:16">
      <c r="P48" t="s">
        <v>782</v>
      </c>
    </row>
    <row r="49" spans="1:16">
      <c r="A49" t="s">
        <v>579</v>
      </c>
      <c r="E49" t="s">
        <v>365</v>
      </c>
      <c r="M49" s="519" t="s">
        <v>17</v>
      </c>
      <c r="P49" t="s">
        <v>783</v>
      </c>
    </row>
    <row r="50" spans="1:16">
      <c r="A50" t="s">
        <v>580</v>
      </c>
      <c r="E50" t="s">
        <v>674</v>
      </c>
      <c r="M50" s="519" t="s">
        <v>17</v>
      </c>
      <c r="P50" t="s">
        <v>784</v>
      </c>
    </row>
    <row r="51" spans="1:16" s="463" customFormat="1">
      <c r="A51" t="s">
        <v>608</v>
      </c>
      <c r="E51" s="463" t="s">
        <v>609</v>
      </c>
      <c r="M51" s="519" t="s">
        <v>17</v>
      </c>
      <c r="P51" s="463" t="s">
        <v>785</v>
      </c>
    </row>
    <row r="52" spans="1:16">
      <c r="A52" t="s">
        <v>679</v>
      </c>
      <c r="E52" t="s">
        <v>680</v>
      </c>
      <c r="M52" s="520" t="s">
        <v>11</v>
      </c>
    </row>
    <row r="53" spans="1:16">
      <c r="A53" t="s">
        <v>599</v>
      </c>
      <c r="E53" t="s">
        <v>600</v>
      </c>
      <c r="M53" s="520" t="s">
        <v>11</v>
      </c>
    </row>
    <row r="54" spans="1:16">
      <c r="A54" t="s">
        <v>576</v>
      </c>
      <c r="E54" t="s">
        <v>577</v>
      </c>
      <c r="M54" s="520" t="s">
        <v>11</v>
      </c>
    </row>
    <row r="55" spans="1:16">
      <c r="A55" t="s">
        <v>335</v>
      </c>
      <c r="E55" t="s">
        <v>575</v>
      </c>
      <c r="M55" s="520" t="s">
        <v>11</v>
      </c>
    </row>
    <row r="56" spans="1:16">
      <c r="A56" s="509" t="s">
        <v>583</v>
      </c>
      <c r="E56" t="s">
        <v>589</v>
      </c>
      <c r="M56" s="520" t="s">
        <v>11</v>
      </c>
    </row>
    <row r="57" spans="1:16">
      <c r="A57" t="s">
        <v>578</v>
      </c>
      <c r="E57" t="s">
        <v>586</v>
      </c>
      <c r="M57" s="520" t="s">
        <v>11</v>
      </c>
    </row>
    <row r="58" spans="1:16">
      <c r="A58" t="s">
        <v>331</v>
      </c>
      <c r="E58" t="s">
        <v>332</v>
      </c>
      <c r="M58" s="521" t="s">
        <v>5</v>
      </c>
    </row>
    <row r="59" spans="1:16">
      <c r="A59" t="s">
        <v>585</v>
      </c>
      <c r="M59" s="521" t="s">
        <v>5</v>
      </c>
    </row>
    <row r="60" spans="1:16">
      <c r="A60" t="s">
        <v>574</v>
      </c>
      <c r="E60" t="s">
        <v>333</v>
      </c>
      <c r="M60" s="521" t="s">
        <v>5</v>
      </c>
    </row>
    <row r="61" spans="1:16">
      <c r="A61" t="s">
        <v>593</v>
      </c>
      <c r="E61" t="s">
        <v>601</v>
      </c>
      <c r="M61" s="521" t="s">
        <v>5</v>
      </c>
    </row>
    <row r="62" spans="1:16">
      <c r="A62" t="s">
        <v>641</v>
      </c>
      <c r="E62" t="s">
        <v>642</v>
      </c>
      <c r="M62" s="522" t="s">
        <v>284</v>
      </c>
    </row>
    <row r="63" spans="1:16">
      <c r="A63" t="s">
        <v>584</v>
      </c>
      <c r="E63" t="s">
        <v>590</v>
      </c>
      <c r="M63" s="523" t="s">
        <v>283</v>
      </c>
    </row>
    <row r="64" spans="1:16">
      <c r="A64" t="s">
        <v>581</v>
      </c>
      <c r="E64" t="s">
        <v>587</v>
      </c>
      <c r="M64" s="523" t="s">
        <v>283</v>
      </c>
    </row>
    <row r="65" spans="1:13">
      <c r="A65" t="s">
        <v>582</v>
      </c>
      <c r="E65" t="s">
        <v>588</v>
      </c>
      <c r="M65" s="523" t="s">
        <v>283</v>
      </c>
    </row>
    <row r="66" spans="1:13">
      <c r="A66" t="s">
        <v>639</v>
      </c>
      <c r="E66" t="s">
        <v>640</v>
      </c>
      <c r="M66" s="524" t="s">
        <v>673</v>
      </c>
    </row>
    <row r="67" spans="1:13">
      <c r="A67" t="s">
        <v>606</v>
      </c>
      <c r="E67" t="s">
        <v>607</v>
      </c>
      <c r="M67" s="524" t="s">
        <v>673</v>
      </c>
    </row>
    <row r="68" spans="1:13">
      <c r="A68" t="s">
        <v>554</v>
      </c>
      <c r="E68" t="s">
        <v>591</v>
      </c>
      <c r="M68" s="524" t="s">
        <v>673</v>
      </c>
    </row>
    <row r="69" spans="1:13">
      <c r="A69" t="s">
        <v>571</v>
      </c>
      <c r="E69" t="s">
        <v>592</v>
      </c>
      <c r="M69" s="524" t="s">
        <v>673</v>
      </c>
    </row>
  </sheetData>
  <sortState ref="A49:M69">
    <sortCondition ref="M49:M69"/>
    <sortCondition ref="A49:A69"/>
  </sortState>
  <pageMargins left="0" right="0" top="0.74803149606299213" bottom="0.74803149606299213" header="0.31496062992125984" footer="0.31496062992125984"/>
  <pageSetup paperSize="9" orientation="landscape" r:id="rId1"/>
  <headerFooter>
    <oddFooter>&amp;LOnglet: &amp;A</oddFooter>
  </headerFooter>
  <rowBreaks count="2" manualBreakCount="2">
    <brk id="35" max="16383" man="1"/>
    <brk id="46" max="16383" man="1"/>
  </row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0"/>
  <dimension ref="A1:V23"/>
  <sheetViews>
    <sheetView workbookViewId="0">
      <selection activeCell="F25" sqref="F25"/>
    </sheetView>
  </sheetViews>
  <sheetFormatPr baseColWidth="10" defaultRowHeight="12.75"/>
  <cols>
    <col min="1" max="1" width="17.85546875" customWidth="1"/>
  </cols>
  <sheetData>
    <row r="1" spans="1:22">
      <c r="A1" t="s">
        <v>537</v>
      </c>
      <c r="V1" s="435" t="s">
        <v>543</v>
      </c>
    </row>
    <row r="2" spans="1:22">
      <c r="V2" t="s">
        <v>99</v>
      </c>
    </row>
    <row r="3" spans="1:22">
      <c r="A3" s="438" t="s">
        <v>538</v>
      </c>
      <c r="C3" s="441" t="s">
        <v>548</v>
      </c>
      <c r="V3" t="s">
        <v>60</v>
      </c>
    </row>
    <row r="4" spans="1:22">
      <c r="A4" s="437" t="s">
        <v>235</v>
      </c>
      <c r="B4" s="443">
        <v>2</v>
      </c>
      <c r="C4" s="356" t="s">
        <v>544</v>
      </c>
    </row>
    <row r="5" spans="1:22">
      <c r="A5" s="437" t="s">
        <v>539</v>
      </c>
      <c r="B5" s="442"/>
      <c r="C5" s="356" t="s">
        <v>545</v>
      </c>
    </row>
    <row r="6" spans="1:22">
      <c r="A6" s="437" t="s">
        <v>9</v>
      </c>
      <c r="B6" s="442"/>
      <c r="C6" s="356" t="s">
        <v>546</v>
      </c>
      <c r="V6" t="s">
        <v>604</v>
      </c>
    </row>
    <row r="7" spans="1:22">
      <c r="A7" s="437" t="s">
        <v>65</v>
      </c>
      <c r="B7" s="442"/>
      <c r="C7" s="356" t="s">
        <v>547</v>
      </c>
      <c r="V7" t="s">
        <v>605</v>
      </c>
    </row>
    <row r="8" spans="1:22">
      <c r="A8" s="440" t="s">
        <v>552</v>
      </c>
      <c r="B8" s="442"/>
      <c r="C8" s="356" t="s">
        <v>553</v>
      </c>
    </row>
    <row r="10" spans="1:22">
      <c r="A10" s="438" t="s">
        <v>540</v>
      </c>
    </row>
    <row r="11" spans="1:22">
      <c r="A11" s="437" t="s">
        <v>235</v>
      </c>
      <c r="B11" s="443"/>
      <c r="C11" s="356" t="s">
        <v>549</v>
      </c>
    </row>
    <row r="12" spans="1:22">
      <c r="A12" s="437" t="s">
        <v>73</v>
      </c>
      <c r="C12" s="356" t="s">
        <v>550</v>
      </c>
    </row>
    <row r="13" spans="1:22">
      <c r="A13" s="440" t="s">
        <v>552</v>
      </c>
      <c r="C13" s="356" t="s">
        <v>551</v>
      </c>
    </row>
    <row r="16" spans="1:22">
      <c r="A16" s="438" t="s">
        <v>541</v>
      </c>
    </row>
    <row r="17" spans="1:4">
      <c r="A17" s="436" t="s">
        <v>542</v>
      </c>
      <c r="B17" s="442" t="s">
        <v>60</v>
      </c>
      <c r="C17" s="356" t="s">
        <v>554</v>
      </c>
    </row>
    <row r="18" spans="1:4">
      <c r="A18" s="456" t="s">
        <v>570</v>
      </c>
      <c r="B18" s="452" t="s">
        <v>60</v>
      </c>
      <c r="C18" s="356" t="s">
        <v>571</v>
      </c>
      <c r="D18" t="s">
        <v>572</v>
      </c>
    </row>
    <row r="21" spans="1:4">
      <c r="A21" s="438" t="s">
        <v>119</v>
      </c>
    </row>
    <row r="22" spans="1:4">
      <c r="B22" t="s">
        <v>779</v>
      </c>
      <c r="C22" s="356" t="s">
        <v>777</v>
      </c>
    </row>
    <row r="23" spans="1:4">
      <c r="B23" t="s">
        <v>780</v>
      </c>
      <c r="C23" s="356" t="s">
        <v>778</v>
      </c>
    </row>
  </sheetData>
  <dataValidations count="1">
    <dataValidation type="list" allowBlank="1" showInputMessage="1" showErrorMessage="1" sqref="B17:B18">
      <formula1>$V$2:$V$3</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5"/>
  <dimension ref="A2:D48"/>
  <sheetViews>
    <sheetView workbookViewId="0">
      <selection activeCell="H12" sqref="H12"/>
    </sheetView>
  </sheetViews>
  <sheetFormatPr baseColWidth="10" defaultRowHeight="12.75"/>
  <cols>
    <col min="2" max="2" width="22.140625" customWidth="1"/>
    <col min="3" max="3" width="23" customWidth="1"/>
  </cols>
  <sheetData>
    <row r="2" spans="1:3">
      <c r="B2" t="s">
        <v>360</v>
      </c>
      <c r="C2" s="102" t="s">
        <v>913</v>
      </c>
    </row>
    <row r="3" spans="1:3">
      <c r="B3" t="s">
        <v>34</v>
      </c>
      <c r="C3" s="102" t="s">
        <v>914</v>
      </c>
    </row>
    <row r="4" spans="1:3">
      <c r="B4" t="s">
        <v>361</v>
      </c>
      <c r="C4" s="308" t="s">
        <v>223</v>
      </c>
    </row>
    <row r="5" spans="1:3">
      <c r="B5" t="s">
        <v>72</v>
      </c>
      <c r="C5" s="102">
        <v>75960</v>
      </c>
    </row>
    <row r="6" spans="1:3">
      <c r="B6" t="s">
        <v>362</v>
      </c>
      <c r="C6" s="102" t="s">
        <v>912</v>
      </c>
    </row>
    <row r="8" spans="1:3">
      <c r="B8" t="s">
        <v>236</v>
      </c>
      <c r="C8" s="102" t="s">
        <v>915</v>
      </c>
    </row>
    <row r="9" spans="1:3">
      <c r="B9" t="s">
        <v>106</v>
      </c>
      <c r="C9" s="102" t="s">
        <v>916</v>
      </c>
    </row>
    <row r="11" spans="1:3">
      <c r="B11" t="s">
        <v>363</v>
      </c>
      <c r="C11" s="806" t="s">
        <v>917</v>
      </c>
    </row>
    <row r="13" spans="1:3">
      <c r="B13" t="s">
        <v>603</v>
      </c>
    </row>
    <row r="15" spans="1:3">
      <c r="A15" s="312" t="s">
        <v>239</v>
      </c>
      <c r="B15" s="21" t="s">
        <v>835</v>
      </c>
    </row>
    <row r="16" spans="1:3">
      <c r="B16" t="s">
        <v>833</v>
      </c>
      <c r="C16" t="s">
        <v>836</v>
      </c>
    </row>
    <row r="17" spans="2:4">
      <c r="B17" s="509" t="s">
        <v>832</v>
      </c>
      <c r="C17">
        <v>388</v>
      </c>
      <c r="D17" s="596">
        <v>2604530001</v>
      </c>
    </row>
    <row r="18" spans="2:4">
      <c r="B18" t="s">
        <v>834</v>
      </c>
      <c r="C18" t="s">
        <v>837</v>
      </c>
    </row>
    <row r="47" spans="1:4">
      <c r="A47" s="415"/>
    </row>
    <row r="48" spans="1:4">
      <c r="A48" s="426"/>
      <c r="B48" s="426"/>
      <c r="C48" s="426"/>
      <c r="D48" s="426"/>
    </row>
  </sheetData>
  <hyperlinks>
    <hyperlink ref="C11" r:id="rId1"/>
  </hyperlinks>
  <pageMargins left="0.7" right="0.7" top="0.75" bottom="0.75" header="0.3" footer="0.3"/>
  <pageSetup paperSize="9" orientation="portrait" r:id="rId2"/>
  <legacy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CF27"/>
  <sheetViews>
    <sheetView workbookViewId="0">
      <pane xSplit="2" ySplit="3" topLeftCell="V4" activePane="bottomRight" state="frozen"/>
      <selection activeCell="C1" sqref="C1"/>
      <selection pane="topRight" activeCell="E1" sqref="E1"/>
      <selection pane="bottomLeft" activeCell="C4" sqref="C4"/>
      <selection pane="bottomRight" activeCell="AY15" sqref="AY15"/>
    </sheetView>
  </sheetViews>
  <sheetFormatPr baseColWidth="10" defaultRowHeight="12.75"/>
  <cols>
    <col min="1" max="1" width="5.7109375" style="505" customWidth="1"/>
    <col min="2" max="2" width="12.7109375" style="506" customWidth="1"/>
    <col min="3" max="3" width="6.7109375" style="506" customWidth="1"/>
    <col min="4" max="7" width="6.7109375" style="509" customWidth="1"/>
    <col min="8" max="8" width="6.7109375" style="506" customWidth="1"/>
    <col min="9" max="13" width="6.7109375" style="509" customWidth="1"/>
    <col min="14" max="18" width="4.7109375" style="585" customWidth="1"/>
    <col min="19" max="25" width="6.7109375" style="509" customWidth="1"/>
    <col min="26" max="30" width="6.7109375" customWidth="1"/>
    <col min="31" max="34" width="4.7109375" style="509" customWidth="1"/>
    <col min="35" max="46" width="6.7109375" customWidth="1"/>
    <col min="47" max="50" width="4.7109375" customWidth="1"/>
    <col min="51" max="62" width="6.7109375" style="509" customWidth="1"/>
    <col min="63" max="66" width="4.7109375" style="509" customWidth="1"/>
    <col min="67" max="67" width="8" customWidth="1"/>
    <col min="68" max="68" width="8.140625" customWidth="1"/>
    <col min="70" max="70" width="9.85546875" customWidth="1"/>
    <col min="75" max="75" width="15.42578125" customWidth="1"/>
    <col min="76" max="76" width="17.28515625" customWidth="1"/>
    <col min="85" max="16384" width="11.42578125" style="506"/>
  </cols>
  <sheetData>
    <row r="1" spans="1:84" ht="15">
      <c r="B1" s="105" t="s">
        <v>61</v>
      </c>
      <c r="C1" s="658" t="s">
        <v>667</v>
      </c>
      <c r="D1" s="658"/>
      <c r="E1" s="658"/>
      <c r="F1" s="658"/>
      <c r="G1" s="658"/>
      <c r="H1" s="658"/>
      <c r="I1" s="658"/>
      <c r="J1" s="658"/>
      <c r="K1" s="658"/>
      <c r="L1" s="658"/>
      <c r="M1" s="658"/>
      <c r="N1" s="658"/>
      <c r="O1" s="658"/>
      <c r="P1" s="658"/>
      <c r="Q1" s="658"/>
      <c r="R1" s="658"/>
      <c r="S1" s="658"/>
      <c r="T1" s="658"/>
      <c r="U1" s="658"/>
      <c r="V1" s="658"/>
      <c r="W1" s="658"/>
      <c r="X1" s="658"/>
      <c r="Y1" s="658"/>
      <c r="Z1" s="658"/>
      <c r="AA1" s="658"/>
      <c r="AB1" s="658"/>
      <c r="AC1" s="658"/>
      <c r="AD1" s="658"/>
      <c r="AE1" s="587"/>
      <c r="AF1" s="587"/>
      <c r="AG1" s="587"/>
      <c r="AH1" s="587"/>
    </row>
    <row r="2" spans="1:84" customFormat="1" ht="29.25" customHeight="1">
      <c r="A2" s="655" t="s">
        <v>5</v>
      </c>
      <c r="B2" s="655"/>
      <c r="C2" s="661" t="s">
        <v>813</v>
      </c>
      <c r="D2" s="662"/>
      <c r="E2" s="662"/>
      <c r="F2" s="662"/>
      <c r="G2" s="662"/>
      <c r="H2" s="662"/>
      <c r="I2" s="662"/>
      <c r="J2" s="662"/>
      <c r="K2" s="662"/>
      <c r="L2" s="662"/>
      <c r="M2" s="662"/>
      <c r="N2" s="662"/>
      <c r="O2" s="584"/>
      <c r="P2" s="584"/>
      <c r="Q2" s="584"/>
      <c r="R2" s="584"/>
      <c r="S2" s="663" t="s">
        <v>792</v>
      </c>
      <c r="T2" s="664"/>
      <c r="U2" s="664"/>
      <c r="V2" s="664"/>
      <c r="W2" s="664"/>
      <c r="X2" s="664"/>
      <c r="Y2" s="664"/>
      <c r="Z2" s="664"/>
      <c r="AA2" s="664"/>
      <c r="AB2" s="664"/>
      <c r="AC2" s="664"/>
      <c r="AD2" s="664"/>
      <c r="AE2" s="580"/>
      <c r="AF2" s="580"/>
      <c r="AG2" s="580"/>
      <c r="AH2" s="580"/>
      <c r="AI2" s="659" t="s">
        <v>668</v>
      </c>
      <c r="AJ2" s="660"/>
      <c r="AK2" s="660"/>
      <c r="AL2" s="660"/>
      <c r="AM2" s="660"/>
      <c r="AN2" s="660"/>
      <c r="AO2" s="660"/>
      <c r="AP2" s="660"/>
      <c r="AQ2" s="660"/>
      <c r="AR2" s="652"/>
      <c r="AS2" s="652"/>
      <c r="AT2" s="652"/>
      <c r="AU2" s="652"/>
      <c r="AV2" s="652"/>
      <c r="AW2" s="652"/>
      <c r="AX2" s="652"/>
      <c r="AY2" s="656" t="s">
        <v>859</v>
      </c>
      <c r="AZ2" s="657"/>
      <c r="BA2" s="657"/>
      <c r="BB2" s="657"/>
      <c r="BC2" s="657"/>
      <c r="BD2" s="657"/>
      <c r="BE2" s="657"/>
      <c r="BF2" s="657"/>
      <c r="BG2" s="657"/>
      <c r="BH2" s="657"/>
      <c r="BI2" s="657"/>
      <c r="BJ2" s="657"/>
      <c r="BK2" s="657"/>
      <c r="BL2" s="657"/>
      <c r="BM2" s="657"/>
      <c r="BN2" s="657"/>
    </row>
    <row r="3" spans="1:84" s="507" customFormat="1" ht="22.5">
      <c r="A3" s="554" t="s">
        <v>812</v>
      </c>
      <c r="B3" s="158" t="s">
        <v>119</v>
      </c>
      <c r="C3" s="566">
        <v>2017</v>
      </c>
      <c r="D3" s="566">
        <v>2018</v>
      </c>
      <c r="E3" s="566">
        <v>2019</v>
      </c>
      <c r="F3" s="566">
        <v>2020</v>
      </c>
      <c r="G3" s="566">
        <v>2021</v>
      </c>
      <c r="H3" s="566">
        <v>2022</v>
      </c>
      <c r="I3" s="566">
        <v>2023</v>
      </c>
      <c r="J3" s="566">
        <v>2024</v>
      </c>
      <c r="K3" s="566">
        <v>2025</v>
      </c>
      <c r="L3" s="566">
        <v>2026</v>
      </c>
      <c r="M3" s="566">
        <v>2027</v>
      </c>
      <c r="N3" s="10">
        <v>2028</v>
      </c>
      <c r="O3" s="10">
        <v>2029</v>
      </c>
      <c r="P3" s="10">
        <v>2030</v>
      </c>
      <c r="Q3" s="10">
        <v>2031</v>
      </c>
      <c r="R3" s="10">
        <v>2032</v>
      </c>
      <c r="S3" s="566">
        <v>2017</v>
      </c>
      <c r="T3" s="566">
        <v>2018</v>
      </c>
      <c r="U3" s="566">
        <v>2019</v>
      </c>
      <c r="V3" s="566">
        <v>2020</v>
      </c>
      <c r="W3" s="566">
        <v>2021</v>
      </c>
      <c r="X3" s="566">
        <v>2022</v>
      </c>
      <c r="Y3" s="566">
        <v>2023</v>
      </c>
      <c r="Z3" s="566">
        <v>2024</v>
      </c>
      <c r="AA3" s="566">
        <v>2025</v>
      </c>
      <c r="AB3" s="566">
        <v>2026</v>
      </c>
      <c r="AC3" s="566">
        <v>2027</v>
      </c>
      <c r="AD3" s="566">
        <v>2028</v>
      </c>
      <c r="AE3" s="581">
        <v>2029</v>
      </c>
      <c r="AF3" s="581">
        <v>2030</v>
      </c>
      <c r="AG3" s="581">
        <v>2031</v>
      </c>
      <c r="AH3" s="581">
        <v>2032</v>
      </c>
      <c r="AI3" s="566">
        <v>2017</v>
      </c>
      <c r="AJ3" s="566">
        <v>2018</v>
      </c>
      <c r="AK3" s="566">
        <v>2019</v>
      </c>
      <c r="AL3" s="566">
        <v>2020</v>
      </c>
      <c r="AM3" s="566">
        <v>2021</v>
      </c>
      <c r="AN3" s="566">
        <v>2022</v>
      </c>
      <c r="AO3" s="566">
        <v>2023</v>
      </c>
      <c r="AP3" s="566">
        <v>2024</v>
      </c>
      <c r="AQ3" s="566">
        <v>2025</v>
      </c>
      <c r="AR3" s="566">
        <v>2026</v>
      </c>
      <c r="AS3" s="566">
        <v>2027</v>
      </c>
      <c r="AT3" s="566">
        <v>2028</v>
      </c>
      <c r="AU3" s="581">
        <v>2029</v>
      </c>
      <c r="AV3" s="581">
        <v>2030</v>
      </c>
      <c r="AW3" s="581">
        <v>2031</v>
      </c>
      <c r="AX3" s="581">
        <v>2032</v>
      </c>
      <c r="AY3" s="611">
        <v>2017</v>
      </c>
      <c r="AZ3" s="611">
        <v>2018</v>
      </c>
      <c r="BA3" s="611">
        <v>2019</v>
      </c>
      <c r="BB3" s="611">
        <v>2020</v>
      </c>
      <c r="BC3" s="611">
        <v>2021</v>
      </c>
      <c r="BD3" s="611">
        <v>2022</v>
      </c>
      <c r="BE3" s="611">
        <v>2023</v>
      </c>
      <c r="BF3" s="611">
        <v>2024</v>
      </c>
      <c r="BG3" s="611">
        <v>2025</v>
      </c>
      <c r="BH3" s="611">
        <v>2026</v>
      </c>
      <c r="BI3" s="611">
        <v>2027</v>
      </c>
      <c r="BJ3" s="611">
        <v>2028</v>
      </c>
      <c r="BK3" s="611">
        <v>2029</v>
      </c>
      <c r="BL3" s="611">
        <v>2030</v>
      </c>
      <c r="BM3" s="611">
        <v>2031</v>
      </c>
      <c r="BN3" s="611">
        <v>2032</v>
      </c>
      <c r="BO3"/>
      <c r="BP3"/>
      <c r="BQ3"/>
      <c r="BR3"/>
      <c r="BS3"/>
      <c r="BT3"/>
      <c r="BU3"/>
      <c r="BV3"/>
      <c r="BW3"/>
      <c r="BX3"/>
      <c r="BY3"/>
      <c r="BZ3"/>
      <c r="CA3"/>
      <c r="CB3"/>
      <c r="CC3"/>
      <c r="CD3"/>
      <c r="CE3"/>
      <c r="CF3"/>
    </row>
    <row r="4" spans="1:84">
      <c r="A4" s="172">
        <v>1</v>
      </c>
      <c r="B4" s="171" t="s">
        <v>638</v>
      </c>
      <c r="C4" s="65">
        <v>548</v>
      </c>
      <c r="D4" s="65">
        <v>0</v>
      </c>
      <c r="E4" s="65">
        <v>0</v>
      </c>
      <c r="F4" s="65">
        <v>0</v>
      </c>
      <c r="G4" s="65">
        <v>0</v>
      </c>
      <c r="H4" s="65">
        <v>0</v>
      </c>
      <c r="I4" s="65">
        <v>0</v>
      </c>
      <c r="J4" s="65">
        <v>0</v>
      </c>
      <c r="K4" s="65">
        <v>0</v>
      </c>
      <c r="L4" s="65">
        <v>0</v>
      </c>
      <c r="M4" s="65">
        <v>0</v>
      </c>
      <c r="N4" s="585">
        <v>0</v>
      </c>
      <c r="O4" s="585">
        <v>11</v>
      </c>
      <c r="P4" s="585">
        <v>12</v>
      </c>
      <c r="Q4" s="585">
        <v>13</v>
      </c>
      <c r="R4" s="585">
        <v>14</v>
      </c>
      <c r="S4" s="65">
        <v>0</v>
      </c>
      <c r="T4" s="65">
        <v>0</v>
      </c>
      <c r="U4" s="65">
        <v>9999</v>
      </c>
      <c r="V4" s="65">
        <v>9999</v>
      </c>
      <c r="W4" s="65">
        <v>9999</v>
      </c>
      <c r="X4" s="65">
        <v>9999</v>
      </c>
      <c r="Y4" s="65">
        <v>9999</v>
      </c>
      <c r="Z4" s="65">
        <v>9999</v>
      </c>
      <c r="AA4" s="65">
        <v>9999</v>
      </c>
      <c r="AB4" s="65">
        <v>9999</v>
      </c>
      <c r="AC4" s="65">
        <v>9999</v>
      </c>
      <c r="AD4" s="65">
        <v>9999</v>
      </c>
      <c r="AE4" s="585">
        <v>9999</v>
      </c>
      <c r="AF4" s="585">
        <v>9999</v>
      </c>
      <c r="AG4" s="585">
        <v>9999</v>
      </c>
      <c r="AH4" s="585">
        <v>9999</v>
      </c>
      <c r="AI4" s="65">
        <v>65</v>
      </c>
      <c r="AJ4" s="65">
        <v>0</v>
      </c>
      <c r="AK4" s="65">
        <v>9999</v>
      </c>
      <c r="AL4" s="65">
        <v>9999</v>
      </c>
      <c r="AM4" s="65">
        <v>9999</v>
      </c>
      <c r="AN4" s="65">
        <v>9999</v>
      </c>
      <c r="AO4" s="65">
        <v>9999</v>
      </c>
      <c r="AP4" s="65">
        <v>9999</v>
      </c>
      <c r="AQ4" s="65">
        <v>9999</v>
      </c>
      <c r="AR4" s="65">
        <v>9999</v>
      </c>
      <c r="AS4" s="65">
        <v>9999</v>
      </c>
      <c r="AT4" s="65">
        <v>9999</v>
      </c>
      <c r="AU4" s="585">
        <v>9999</v>
      </c>
      <c r="AV4" s="585">
        <v>9999</v>
      </c>
      <c r="AW4" s="585">
        <v>9999</v>
      </c>
      <c r="AX4" s="585">
        <v>9999</v>
      </c>
      <c r="AY4" s="65">
        <v>485</v>
      </c>
      <c r="AZ4" s="65">
        <v>0</v>
      </c>
      <c r="BA4" s="65">
        <v>9999</v>
      </c>
      <c r="BB4" s="65">
        <v>9999</v>
      </c>
      <c r="BC4" s="65">
        <v>9999</v>
      </c>
      <c r="BD4" s="65">
        <v>9999</v>
      </c>
      <c r="BE4" s="65">
        <v>9999</v>
      </c>
      <c r="BF4" s="65">
        <v>9999</v>
      </c>
      <c r="BG4" s="65">
        <v>9999</v>
      </c>
      <c r="BH4" s="65">
        <v>9999</v>
      </c>
      <c r="BI4" s="65">
        <v>9999</v>
      </c>
      <c r="BJ4" s="65">
        <v>9999</v>
      </c>
      <c r="BK4" s="585">
        <v>9999</v>
      </c>
      <c r="BL4" s="585">
        <v>9999</v>
      </c>
      <c r="BM4" s="585">
        <v>9999</v>
      </c>
      <c r="BN4" s="585">
        <v>9999</v>
      </c>
    </row>
    <row r="5" spans="1:84">
      <c r="A5" s="172">
        <v>2</v>
      </c>
      <c r="B5" s="183" t="s">
        <v>41</v>
      </c>
      <c r="C5" s="65">
        <v>1514</v>
      </c>
      <c r="D5" s="65">
        <v>0</v>
      </c>
      <c r="E5" s="65">
        <v>0</v>
      </c>
      <c r="F5" s="65">
        <v>0</v>
      </c>
      <c r="G5" s="65">
        <v>0</v>
      </c>
      <c r="H5" s="65">
        <v>0</v>
      </c>
      <c r="I5" s="65">
        <v>0</v>
      </c>
      <c r="J5" s="65">
        <v>0</v>
      </c>
      <c r="K5" s="65">
        <v>0</v>
      </c>
      <c r="L5" s="65">
        <v>0</v>
      </c>
      <c r="M5" s="65">
        <v>0</v>
      </c>
      <c r="N5" s="65">
        <v>0</v>
      </c>
      <c r="O5" s="585">
        <v>9999</v>
      </c>
      <c r="P5" s="585">
        <v>9999</v>
      </c>
      <c r="Q5" s="585">
        <v>9999</v>
      </c>
      <c r="R5" s="585">
        <v>9999</v>
      </c>
      <c r="S5" s="65">
        <v>0</v>
      </c>
      <c r="T5" s="65">
        <v>2002</v>
      </c>
      <c r="U5" s="65">
        <v>9999</v>
      </c>
      <c r="V5" s="65">
        <v>9999</v>
      </c>
      <c r="W5" s="65">
        <v>9999</v>
      </c>
      <c r="X5" s="65">
        <v>9999</v>
      </c>
      <c r="Y5" s="65">
        <v>9999</v>
      </c>
      <c r="Z5" s="65">
        <v>9999</v>
      </c>
      <c r="AA5" s="65">
        <v>9999</v>
      </c>
      <c r="AB5" s="65">
        <v>9999</v>
      </c>
      <c r="AC5" s="65">
        <v>9999</v>
      </c>
      <c r="AD5" s="65">
        <v>9999</v>
      </c>
      <c r="AE5" s="585">
        <v>9999</v>
      </c>
      <c r="AF5" s="585">
        <v>9999</v>
      </c>
      <c r="AG5" s="585">
        <v>9999</v>
      </c>
      <c r="AH5" s="585">
        <v>9999</v>
      </c>
      <c r="AI5" s="65">
        <v>193</v>
      </c>
      <c r="AJ5" s="65">
        <v>3002</v>
      </c>
      <c r="AK5" s="65">
        <v>9999</v>
      </c>
      <c r="AL5" s="65">
        <v>9999</v>
      </c>
      <c r="AM5" s="65">
        <v>9999</v>
      </c>
      <c r="AN5" s="65">
        <v>9999</v>
      </c>
      <c r="AO5" s="65">
        <v>9999</v>
      </c>
      <c r="AP5" s="65">
        <v>9999</v>
      </c>
      <c r="AQ5" s="65">
        <v>9999</v>
      </c>
      <c r="AR5" s="65">
        <v>9999</v>
      </c>
      <c r="AS5" s="65">
        <v>9999</v>
      </c>
      <c r="AT5" s="65">
        <v>9999</v>
      </c>
      <c r="AU5" s="585">
        <v>9999</v>
      </c>
      <c r="AV5" s="585">
        <v>9999</v>
      </c>
      <c r="AW5" s="585">
        <v>9999</v>
      </c>
      <c r="AX5" s="585">
        <v>9999</v>
      </c>
      <c r="AY5" s="65">
        <v>2737</v>
      </c>
      <c r="AZ5" s="65">
        <v>0</v>
      </c>
      <c r="BA5" s="65">
        <v>9999</v>
      </c>
      <c r="BB5" s="65">
        <v>9999</v>
      </c>
      <c r="BC5" s="65">
        <v>9999</v>
      </c>
      <c r="BD5" s="65">
        <v>9999</v>
      </c>
      <c r="BE5" s="65">
        <v>9999</v>
      </c>
      <c r="BF5" s="65">
        <v>9999</v>
      </c>
      <c r="BG5" s="65">
        <v>9999</v>
      </c>
      <c r="BH5" s="65">
        <v>9999</v>
      </c>
      <c r="BI5" s="65">
        <v>9999</v>
      </c>
      <c r="BJ5" s="65">
        <v>9999</v>
      </c>
      <c r="BK5" s="585">
        <v>9999</v>
      </c>
      <c r="BL5" s="585">
        <v>9999</v>
      </c>
      <c r="BM5" s="585">
        <v>9999</v>
      </c>
      <c r="BN5" s="585">
        <v>9999</v>
      </c>
    </row>
    <row r="6" spans="1:84">
      <c r="A6" s="172">
        <v>3</v>
      </c>
      <c r="B6" s="183" t="s">
        <v>42</v>
      </c>
      <c r="C6" s="65">
        <v>751</v>
      </c>
      <c r="D6" s="65">
        <v>9999</v>
      </c>
      <c r="E6" s="65">
        <v>9999</v>
      </c>
      <c r="F6" s="65">
        <v>9999</v>
      </c>
      <c r="G6" s="65">
        <v>9999</v>
      </c>
      <c r="H6" s="65">
        <v>9999</v>
      </c>
      <c r="I6" s="65">
        <v>9999</v>
      </c>
      <c r="J6" s="65">
        <v>9999</v>
      </c>
      <c r="K6" s="65">
        <v>9999</v>
      </c>
      <c r="L6" s="65">
        <v>9999</v>
      </c>
      <c r="M6" s="65">
        <v>9999</v>
      </c>
      <c r="N6" s="585">
        <v>9999</v>
      </c>
      <c r="O6" s="585">
        <v>9999</v>
      </c>
      <c r="P6" s="585">
        <v>9999</v>
      </c>
      <c r="Q6" s="585">
        <v>9999</v>
      </c>
      <c r="R6" s="585">
        <v>9999</v>
      </c>
      <c r="S6" s="65">
        <v>0</v>
      </c>
      <c r="T6" s="65">
        <v>9999</v>
      </c>
      <c r="U6" s="65">
        <v>9999</v>
      </c>
      <c r="V6" s="65">
        <v>9999</v>
      </c>
      <c r="W6" s="65">
        <v>9999</v>
      </c>
      <c r="X6" s="65">
        <v>9999</v>
      </c>
      <c r="Y6" s="65">
        <v>9999</v>
      </c>
      <c r="Z6" s="65">
        <v>9999</v>
      </c>
      <c r="AA6" s="65">
        <v>9999</v>
      </c>
      <c r="AB6" s="65">
        <v>9999</v>
      </c>
      <c r="AC6" s="65">
        <v>9999</v>
      </c>
      <c r="AD6" s="65">
        <v>9999</v>
      </c>
      <c r="AE6" s="585">
        <v>9999</v>
      </c>
      <c r="AF6" s="585">
        <v>9999</v>
      </c>
      <c r="AG6" s="585">
        <v>9999</v>
      </c>
      <c r="AH6" s="585">
        <v>9999</v>
      </c>
      <c r="AI6" s="65">
        <v>96</v>
      </c>
      <c r="AJ6" s="65">
        <v>9999</v>
      </c>
      <c r="AK6" s="65">
        <v>9999</v>
      </c>
      <c r="AL6" s="65">
        <v>9999</v>
      </c>
      <c r="AM6" s="65">
        <v>9999</v>
      </c>
      <c r="AN6" s="65">
        <v>9999</v>
      </c>
      <c r="AO6" s="65">
        <v>9999</v>
      </c>
      <c r="AP6" s="65">
        <v>9999</v>
      </c>
      <c r="AQ6" s="65">
        <v>9999</v>
      </c>
      <c r="AR6" s="65">
        <v>9999</v>
      </c>
      <c r="AS6" s="65">
        <v>9999</v>
      </c>
      <c r="AT6" s="65">
        <v>9999</v>
      </c>
      <c r="AU6" s="585">
        <v>9999</v>
      </c>
      <c r="AV6" s="585">
        <v>9999</v>
      </c>
      <c r="AW6" s="585">
        <v>9999</v>
      </c>
      <c r="AX6" s="585">
        <v>9999</v>
      </c>
      <c r="AY6" s="65">
        <v>1738</v>
      </c>
      <c r="AZ6" s="65">
        <v>0</v>
      </c>
      <c r="BA6" s="65">
        <v>9999</v>
      </c>
      <c r="BB6" s="65">
        <v>9999</v>
      </c>
      <c r="BC6" s="65">
        <v>9999</v>
      </c>
      <c r="BD6" s="65">
        <v>9999</v>
      </c>
      <c r="BE6" s="65">
        <v>9999</v>
      </c>
      <c r="BF6" s="65">
        <v>9999</v>
      </c>
      <c r="BG6" s="65">
        <v>9999</v>
      </c>
      <c r="BH6" s="65">
        <v>9999</v>
      </c>
      <c r="BI6" s="65">
        <v>9999</v>
      </c>
      <c r="BJ6" s="65">
        <v>9999</v>
      </c>
      <c r="BK6" s="585">
        <v>9999</v>
      </c>
      <c r="BL6" s="585">
        <v>9999</v>
      </c>
      <c r="BM6" s="585">
        <v>9999</v>
      </c>
      <c r="BN6" s="585">
        <v>9999</v>
      </c>
    </row>
    <row r="7" spans="1:84">
      <c r="A7" s="172">
        <v>4</v>
      </c>
      <c r="B7" s="183" t="s">
        <v>43</v>
      </c>
      <c r="C7" s="65">
        <v>930</v>
      </c>
      <c r="D7" s="65">
        <v>9999</v>
      </c>
      <c r="E7" s="65">
        <v>9999</v>
      </c>
      <c r="F7" s="65">
        <v>9999</v>
      </c>
      <c r="G7" s="65">
        <v>9999</v>
      </c>
      <c r="H7" s="65">
        <v>9999</v>
      </c>
      <c r="I7" s="65">
        <v>9999</v>
      </c>
      <c r="J7" s="65">
        <v>9999</v>
      </c>
      <c r="K7" s="65">
        <v>9999</v>
      </c>
      <c r="L7" s="65">
        <v>9999</v>
      </c>
      <c r="M7" s="65">
        <v>9999</v>
      </c>
      <c r="N7" s="585">
        <v>9999</v>
      </c>
      <c r="O7" s="585">
        <v>9999</v>
      </c>
      <c r="P7" s="585">
        <v>9999</v>
      </c>
      <c r="Q7" s="585">
        <v>9999</v>
      </c>
      <c r="R7" s="585">
        <v>9999</v>
      </c>
      <c r="S7" s="65">
        <v>792</v>
      </c>
      <c r="T7" s="65">
        <v>9999</v>
      </c>
      <c r="U7" s="65">
        <v>9999</v>
      </c>
      <c r="V7" s="65">
        <v>9999</v>
      </c>
      <c r="W7" s="65">
        <v>9999</v>
      </c>
      <c r="X7" s="65">
        <v>9999</v>
      </c>
      <c r="Y7" s="65">
        <v>9999</v>
      </c>
      <c r="Z7" s="65">
        <v>9999</v>
      </c>
      <c r="AA7" s="65">
        <v>9999</v>
      </c>
      <c r="AB7" s="65">
        <v>9999</v>
      </c>
      <c r="AC7" s="65">
        <v>9999</v>
      </c>
      <c r="AD7" s="65">
        <v>9999</v>
      </c>
      <c r="AE7" s="585">
        <v>9999</v>
      </c>
      <c r="AF7" s="585">
        <v>9999</v>
      </c>
      <c r="AG7" s="585">
        <v>9999</v>
      </c>
      <c r="AH7" s="585">
        <v>9999</v>
      </c>
      <c r="AI7" s="65">
        <v>2150</v>
      </c>
      <c r="AJ7" s="65"/>
      <c r="AK7" s="65">
        <v>9999</v>
      </c>
      <c r="AL7" s="65">
        <v>9999</v>
      </c>
      <c r="AM7" s="65">
        <v>9999</v>
      </c>
      <c r="AN7" s="65">
        <v>9999</v>
      </c>
      <c r="AO7" s="65">
        <v>9999</v>
      </c>
      <c r="AP7" s="65">
        <v>9999</v>
      </c>
      <c r="AQ7" s="65">
        <v>9999</v>
      </c>
      <c r="AR7" s="65">
        <v>9999</v>
      </c>
      <c r="AS7" s="65">
        <v>9999</v>
      </c>
      <c r="AT7" s="65">
        <v>9999</v>
      </c>
      <c r="AU7" s="585">
        <v>9999</v>
      </c>
      <c r="AV7" s="585">
        <v>9999</v>
      </c>
      <c r="AW7" s="585">
        <v>9999</v>
      </c>
      <c r="AX7" s="585">
        <v>9999</v>
      </c>
      <c r="AY7" s="65">
        <v>2150</v>
      </c>
      <c r="AZ7" s="65">
        <v>0</v>
      </c>
      <c r="BA7" s="65">
        <v>9999</v>
      </c>
      <c r="BB7" s="65">
        <v>9999</v>
      </c>
      <c r="BC7" s="65">
        <v>9999</v>
      </c>
      <c r="BD7" s="65">
        <v>9999</v>
      </c>
      <c r="BE7" s="65">
        <v>9999</v>
      </c>
      <c r="BF7" s="65">
        <v>9999</v>
      </c>
      <c r="BG7" s="65">
        <v>9999</v>
      </c>
      <c r="BH7" s="65">
        <v>9999</v>
      </c>
      <c r="BI7" s="65">
        <v>9999</v>
      </c>
      <c r="BJ7" s="65">
        <v>9999</v>
      </c>
      <c r="BK7" s="585">
        <v>9999</v>
      </c>
      <c r="BL7" s="585">
        <v>9999</v>
      </c>
      <c r="BM7" s="585">
        <v>9999</v>
      </c>
      <c r="BN7" s="585">
        <v>9999</v>
      </c>
    </row>
    <row r="8" spans="1:84">
      <c r="A8" s="172">
        <v>5</v>
      </c>
      <c r="B8" s="183" t="s">
        <v>56</v>
      </c>
      <c r="C8" s="65">
        <v>9999</v>
      </c>
      <c r="D8" s="65">
        <v>9999</v>
      </c>
      <c r="E8" s="65">
        <v>9999</v>
      </c>
      <c r="F8" s="65">
        <v>9999</v>
      </c>
      <c r="G8" s="65">
        <v>9999</v>
      </c>
      <c r="H8" s="65">
        <v>9999</v>
      </c>
      <c r="I8" s="65">
        <v>9999</v>
      </c>
      <c r="J8" s="65">
        <v>9999</v>
      </c>
      <c r="K8" s="65">
        <v>9999</v>
      </c>
      <c r="L8" s="65">
        <v>9999</v>
      </c>
      <c r="M8" s="65">
        <v>9999</v>
      </c>
      <c r="N8" s="585">
        <v>9999</v>
      </c>
      <c r="O8" s="585">
        <v>9999</v>
      </c>
      <c r="P8" s="585">
        <v>9999</v>
      </c>
      <c r="Q8" s="585">
        <v>9999</v>
      </c>
      <c r="R8" s="585">
        <v>9999</v>
      </c>
      <c r="S8" s="65">
        <v>9999</v>
      </c>
      <c r="T8" s="65">
        <v>9999</v>
      </c>
      <c r="U8" s="65">
        <v>9999</v>
      </c>
      <c r="V8" s="65">
        <v>9999</v>
      </c>
      <c r="W8" s="65">
        <v>9999</v>
      </c>
      <c r="X8" s="65">
        <v>9999</v>
      </c>
      <c r="Y8" s="65">
        <v>9999</v>
      </c>
      <c r="Z8" s="65">
        <v>9999</v>
      </c>
      <c r="AA8" s="65">
        <v>9999</v>
      </c>
      <c r="AB8" s="65">
        <v>9999</v>
      </c>
      <c r="AC8" s="65">
        <v>9999</v>
      </c>
      <c r="AD8" s="65">
        <v>9999</v>
      </c>
      <c r="AE8" s="585">
        <v>9999</v>
      </c>
      <c r="AF8" s="585">
        <v>9999</v>
      </c>
      <c r="AG8" s="585">
        <v>9999</v>
      </c>
      <c r="AH8" s="585">
        <v>9999</v>
      </c>
      <c r="AI8" s="65">
        <v>9999</v>
      </c>
      <c r="AJ8" s="65">
        <v>9999</v>
      </c>
      <c r="AK8" s="65">
        <v>9999</v>
      </c>
      <c r="AL8" s="65">
        <v>9999</v>
      </c>
      <c r="AM8" s="65">
        <v>9999</v>
      </c>
      <c r="AN8" s="65">
        <v>9999</v>
      </c>
      <c r="AO8" s="65">
        <v>9999</v>
      </c>
      <c r="AP8" s="65">
        <v>9999</v>
      </c>
      <c r="AQ8" s="65">
        <v>9999</v>
      </c>
      <c r="AR8" s="65">
        <v>9999</v>
      </c>
      <c r="AS8" s="65">
        <v>9999</v>
      </c>
      <c r="AT8" s="65">
        <v>9999</v>
      </c>
      <c r="AU8" s="585">
        <v>9999</v>
      </c>
      <c r="AV8" s="585">
        <v>9999</v>
      </c>
      <c r="AW8" s="585">
        <v>9999</v>
      </c>
      <c r="AX8" s="585">
        <v>9999</v>
      </c>
      <c r="AY8" s="65">
        <v>9999</v>
      </c>
      <c r="AZ8" s="65">
        <v>9999</v>
      </c>
      <c r="BA8" s="65">
        <v>9999</v>
      </c>
      <c r="BB8" s="65">
        <v>9999</v>
      </c>
      <c r="BC8" s="65">
        <v>9999</v>
      </c>
      <c r="BD8" s="65">
        <v>9999</v>
      </c>
      <c r="BE8" s="65">
        <v>9999</v>
      </c>
      <c r="BF8" s="65">
        <v>9999</v>
      </c>
      <c r="BG8" s="65">
        <v>9999</v>
      </c>
      <c r="BH8" s="65">
        <v>9999</v>
      </c>
      <c r="BI8" s="65">
        <v>9999</v>
      </c>
      <c r="BJ8" s="65">
        <v>9999</v>
      </c>
      <c r="BK8" s="585">
        <v>9999</v>
      </c>
      <c r="BL8" s="585">
        <v>9999</v>
      </c>
      <c r="BM8" s="585">
        <v>9999</v>
      </c>
      <c r="BN8" s="585">
        <v>9999</v>
      </c>
    </row>
    <row r="9" spans="1:84">
      <c r="B9" s="117"/>
      <c r="C9" s="117"/>
      <c r="D9" s="117"/>
      <c r="E9" s="117"/>
      <c r="F9" s="117"/>
      <c r="G9" s="117"/>
      <c r="H9" s="117"/>
      <c r="I9" s="117"/>
      <c r="J9" s="117"/>
      <c r="K9" s="117"/>
      <c r="L9" s="117"/>
      <c r="M9" s="117"/>
      <c r="N9" s="586"/>
      <c r="O9" s="586"/>
      <c r="P9" s="586"/>
      <c r="Q9" s="586"/>
      <c r="R9" s="586"/>
      <c r="S9" s="117"/>
      <c r="T9" s="117"/>
      <c r="U9" s="117"/>
      <c r="V9" s="117"/>
      <c r="W9" s="117"/>
      <c r="X9" s="117"/>
      <c r="Y9" s="117"/>
    </row>
    <row r="10" spans="1:84" customFormat="1">
      <c r="D10" s="509"/>
      <c r="E10" s="509"/>
      <c r="F10" s="509"/>
      <c r="G10" s="509"/>
      <c r="I10" s="509"/>
      <c r="J10" s="509"/>
      <c r="K10" s="509"/>
      <c r="L10" s="509"/>
      <c r="M10" s="509"/>
      <c r="N10" s="585"/>
      <c r="O10" s="585"/>
      <c r="P10" s="585"/>
      <c r="Q10" s="585"/>
      <c r="R10" s="585"/>
      <c r="S10" s="509"/>
      <c r="T10" s="509"/>
      <c r="U10" s="509"/>
      <c r="V10" s="509"/>
      <c r="W10" s="509"/>
      <c r="X10" s="509"/>
      <c r="Y10" s="509"/>
      <c r="AE10" s="509"/>
      <c r="AF10" s="509"/>
      <c r="AG10" s="509"/>
      <c r="AH10" s="509"/>
      <c r="AY10" s="509"/>
      <c r="AZ10" s="509"/>
      <c r="BA10" s="509"/>
      <c r="BB10" s="509"/>
      <c r="BC10" s="509"/>
      <c r="BD10" s="509"/>
      <c r="BE10" s="509"/>
      <c r="BF10" s="509"/>
      <c r="BG10" s="509"/>
      <c r="BH10" s="509"/>
      <c r="BI10" s="509"/>
      <c r="BJ10" s="509"/>
      <c r="BK10" s="509"/>
      <c r="BL10" s="509"/>
      <c r="BM10" s="509"/>
      <c r="BN10" s="509"/>
    </row>
    <row r="11" spans="1:84" customFormat="1">
      <c r="D11" s="509"/>
      <c r="E11" s="509"/>
      <c r="F11" s="509"/>
      <c r="G11" s="509"/>
      <c r="I11" s="509"/>
      <c r="J11" s="509"/>
      <c r="K11" s="509"/>
      <c r="L11" s="509"/>
      <c r="M11" s="509"/>
      <c r="N11" s="585"/>
      <c r="O11" s="585"/>
      <c r="P11" s="585"/>
      <c r="Q11" s="585"/>
      <c r="R11" s="585"/>
      <c r="S11" s="509"/>
      <c r="T11" s="509"/>
      <c r="U11" s="509"/>
      <c r="V11" s="509"/>
      <c r="W11" s="509"/>
      <c r="X11" s="509"/>
      <c r="Y11" s="509"/>
      <c r="AE11" s="509"/>
      <c r="AF11" s="509"/>
      <c r="AG11" s="509"/>
      <c r="AH11" s="509"/>
      <c r="AY11" s="509"/>
      <c r="AZ11" s="509"/>
      <c r="BA11" s="509"/>
      <c r="BB11" s="509"/>
      <c r="BC11" s="509"/>
      <c r="BD11" s="509"/>
      <c r="BE11" s="509"/>
      <c r="BF11" s="509"/>
      <c r="BG11" s="509"/>
      <c r="BH11" s="509"/>
      <c r="BI11" s="509"/>
      <c r="BJ11" s="509"/>
      <c r="BK11" s="509"/>
      <c r="BL11" s="509"/>
      <c r="BM11" s="509"/>
      <c r="BN11" s="509"/>
    </row>
    <row r="12" spans="1:84" customFormat="1">
      <c r="D12" s="509"/>
      <c r="E12" s="509"/>
      <c r="F12" s="509"/>
      <c r="G12" s="509"/>
      <c r="I12" s="509"/>
      <c r="J12" s="509"/>
      <c r="K12" s="509"/>
      <c r="L12" s="509"/>
      <c r="M12" s="509"/>
      <c r="N12" s="585"/>
      <c r="O12" s="585"/>
      <c r="P12" s="585"/>
      <c r="Q12" s="585"/>
      <c r="R12" s="585"/>
      <c r="S12" s="509"/>
      <c r="T12" s="509"/>
      <c r="U12" s="509"/>
      <c r="V12" s="509"/>
      <c r="W12" s="509"/>
      <c r="X12" s="509"/>
      <c r="Y12" s="509"/>
      <c r="AE12" s="509"/>
      <c r="AF12" s="509"/>
      <c r="AG12" s="509"/>
      <c r="AH12" s="509"/>
      <c r="AY12" s="509"/>
      <c r="AZ12" s="509"/>
      <c r="BA12" s="509"/>
      <c r="BB12" s="509"/>
      <c r="BC12" s="509"/>
      <c r="BD12" s="509"/>
      <c r="BE12" s="509"/>
      <c r="BF12" s="509"/>
      <c r="BG12" s="509"/>
      <c r="BH12" s="509"/>
      <c r="BI12" s="509"/>
      <c r="BJ12" s="509"/>
      <c r="BK12" s="509"/>
      <c r="BL12" s="509"/>
      <c r="BM12" s="509"/>
      <c r="BN12" s="509"/>
    </row>
    <row r="13" spans="1:84" customFormat="1">
      <c r="D13" s="509"/>
      <c r="E13" s="509"/>
      <c r="F13" s="509"/>
      <c r="G13" s="509"/>
      <c r="I13" s="509"/>
      <c r="J13" s="509"/>
      <c r="K13" s="509"/>
      <c r="L13" s="509"/>
      <c r="M13" s="509"/>
      <c r="N13" s="585"/>
      <c r="O13" s="585"/>
      <c r="P13" s="585"/>
      <c r="Q13" s="585"/>
      <c r="R13" s="585"/>
      <c r="S13" s="509"/>
      <c r="T13" s="509"/>
      <c r="U13" s="509"/>
      <c r="V13" s="509"/>
      <c r="W13" s="509"/>
      <c r="X13" s="509"/>
      <c r="Y13" s="509"/>
      <c r="AE13" s="509"/>
      <c r="AF13" s="509"/>
      <c r="AG13" s="509"/>
      <c r="AH13" s="509"/>
      <c r="AY13" s="509"/>
      <c r="AZ13" s="509"/>
      <c r="BA13" s="509"/>
      <c r="BB13" s="509"/>
      <c r="BC13" s="509"/>
      <c r="BD13" s="509"/>
      <c r="BE13" s="509"/>
      <c r="BF13" s="509"/>
      <c r="BG13" s="509"/>
      <c r="BH13" s="509"/>
      <c r="BI13" s="509"/>
      <c r="BJ13" s="509"/>
      <c r="BK13" s="509"/>
      <c r="BL13" s="509"/>
      <c r="BM13" s="509"/>
      <c r="BN13" s="509"/>
    </row>
    <row r="14" spans="1:84" customFormat="1">
      <c r="C14" t="s">
        <v>779</v>
      </c>
      <c r="D14" s="509"/>
      <c r="E14" s="509"/>
      <c r="F14" s="509"/>
      <c r="G14" s="509"/>
      <c r="I14" s="509"/>
      <c r="J14" s="509"/>
      <c r="K14" s="509"/>
      <c r="L14" s="509"/>
      <c r="M14" s="509"/>
      <c r="N14" s="585"/>
      <c r="O14" s="585"/>
      <c r="P14" s="585"/>
      <c r="Q14" s="585"/>
      <c r="R14" s="585"/>
      <c r="S14" s="509"/>
      <c r="T14" s="509"/>
      <c r="U14" s="509"/>
      <c r="V14" s="509"/>
      <c r="W14" s="509"/>
      <c r="X14" s="509"/>
      <c r="Y14" s="509"/>
      <c r="AE14" s="509"/>
      <c r="AF14" s="509"/>
      <c r="AG14" s="509"/>
      <c r="AH14" s="509"/>
      <c r="AY14" s="509"/>
      <c r="AZ14" s="509"/>
      <c r="BA14" s="509"/>
      <c r="BB14" s="509"/>
      <c r="BC14" s="509"/>
      <c r="BD14" s="509"/>
      <c r="BE14" s="509"/>
      <c r="BF14" s="509"/>
      <c r="BG14" s="509"/>
      <c r="BH14" s="509"/>
      <c r="BI14" s="509"/>
      <c r="BJ14" s="509"/>
      <c r="BK14" s="509"/>
      <c r="BL14" s="509"/>
      <c r="BM14" s="509"/>
      <c r="BN14" s="509"/>
    </row>
    <row r="15" spans="1:84" customFormat="1">
      <c r="C15" t="s">
        <v>780</v>
      </c>
      <c r="D15" s="509"/>
      <c r="E15" s="509"/>
      <c r="F15" s="509"/>
      <c r="G15" s="509"/>
      <c r="I15" s="509"/>
      <c r="J15" s="509"/>
      <c r="K15" s="509"/>
      <c r="L15" s="509"/>
      <c r="M15" s="509"/>
      <c r="N15" s="585"/>
      <c r="O15" s="585"/>
      <c r="P15" s="585"/>
      <c r="Q15" s="585"/>
      <c r="R15" s="585"/>
      <c r="S15" s="509"/>
      <c r="T15" s="509"/>
      <c r="U15" s="509"/>
      <c r="V15" s="509"/>
      <c r="W15" s="509"/>
      <c r="X15" s="509"/>
      <c r="Y15" s="509"/>
      <c r="AE15" s="509"/>
      <c r="AF15" s="509"/>
      <c r="AG15" s="509"/>
      <c r="AH15" s="509"/>
      <c r="AY15" s="509"/>
      <c r="AZ15" s="509"/>
      <c r="BA15" s="509"/>
      <c r="BB15" s="509"/>
      <c r="BC15" s="509"/>
      <c r="BD15" s="509"/>
      <c r="BE15" s="509"/>
      <c r="BF15" s="509"/>
      <c r="BG15" s="509"/>
      <c r="BH15" s="509"/>
      <c r="BI15" s="509"/>
      <c r="BJ15" s="509"/>
      <c r="BK15" s="509"/>
      <c r="BL15" s="509"/>
      <c r="BM15" s="509"/>
      <c r="BN15" s="509"/>
    </row>
    <row r="16" spans="1:84" customFormat="1">
      <c r="D16" s="509"/>
      <c r="E16" s="509"/>
      <c r="F16" s="509"/>
      <c r="G16" s="509"/>
      <c r="I16" s="509"/>
      <c r="J16" s="509"/>
      <c r="K16" s="509"/>
      <c r="L16" s="509"/>
      <c r="M16" s="509"/>
      <c r="N16" s="585"/>
      <c r="O16" s="585"/>
      <c r="P16" s="585"/>
      <c r="Q16" s="585"/>
      <c r="R16" s="585"/>
      <c r="S16" s="509"/>
      <c r="T16" s="509"/>
      <c r="U16" s="509"/>
      <c r="V16" s="509"/>
      <c r="W16" s="509"/>
      <c r="X16" s="509"/>
      <c r="Y16" s="509"/>
      <c r="AE16" s="509"/>
      <c r="AF16" s="509"/>
      <c r="AG16" s="509"/>
      <c r="AH16" s="509"/>
      <c r="AY16" s="509"/>
      <c r="AZ16" s="509"/>
      <c r="BA16" s="509"/>
      <c r="BB16" s="509"/>
      <c r="BC16" s="509"/>
      <c r="BD16" s="509"/>
      <c r="BE16" s="509"/>
      <c r="BF16" s="509"/>
      <c r="BG16" s="509"/>
      <c r="BH16" s="509"/>
      <c r="BI16" s="509"/>
      <c r="BJ16" s="509"/>
      <c r="BK16" s="509"/>
      <c r="BL16" s="509"/>
      <c r="BM16" s="509"/>
      <c r="BN16" s="509"/>
    </row>
    <row r="17" spans="4:66" customFormat="1">
      <c r="D17" s="509"/>
      <c r="E17" s="509"/>
      <c r="F17" s="509"/>
      <c r="G17" s="509"/>
      <c r="I17" s="509"/>
      <c r="J17" s="509"/>
      <c r="K17" s="509"/>
      <c r="L17" s="509"/>
      <c r="M17" s="509"/>
      <c r="N17" s="585"/>
      <c r="O17" s="585"/>
      <c r="P17" s="585"/>
      <c r="Q17" s="585"/>
      <c r="R17" s="585"/>
      <c r="S17" s="509"/>
      <c r="T17" s="509"/>
      <c r="U17" s="509"/>
      <c r="V17" s="509"/>
      <c r="W17" s="509"/>
      <c r="X17" s="509"/>
      <c r="Y17" s="509"/>
      <c r="AE17" s="509"/>
      <c r="AF17" s="509"/>
      <c r="AG17" s="509"/>
      <c r="AH17" s="509"/>
      <c r="AY17" s="509"/>
      <c r="AZ17" s="509"/>
      <c r="BA17" s="509"/>
      <c r="BB17" s="509"/>
      <c r="BC17" s="509"/>
      <c r="BD17" s="509"/>
      <c r="BE17" s="509"/>
      <c r="BF17" s="509"/>
      <c r="BG17" s="509"/>
      <c r="BH17" s="509"/>
      <c r="BI17" s="509"/>
      <c r="BJ17" s="509"/>
      <c r="BK17" s="509"/>
      <c r="BL17" s="509"/>
      <c r="BM17" s="509"/>
      <c r="BN17" s="509"/>
    </row>
    <row r="18" spans="4:66" customFormat="1">
      <c r="D18" s="509"/>
      <c r="E18" s="509"/>
      <c r="F18" s="509"/>
      <c r="G18" s="509"/>
      <c r="I18" s="509"/>
      <c r="J18" s="509"/>
      <c r="K18" s="509"/>
      <c r="L18" s="509"/>
      <c r="M18" s="509"/>
      <c r="N18" s="585"/>
      <c r="O18" s="585"/>
      <c r="P18" s="585"/>
      <c r="Q18" s="585"/>
      <c r="R18" s="585"/>
      <c r="S18" s="509"/>
      <c r="T18" s="509"/>
      <c r="U18" s="509"/>
      <c r="V18" s="509"/>
      <c r="W18" s="509"/>
      <c r="X18" s="509"/>
      <c r="Y18" s="509"/>
      <c r="AE18" s="509"/>
      <c r="AF18" s="509"/>
      <c r="AG18" s="509"/>
      <c r="AH18" s="509"/>
      <c r="AY18" s="509"/>
      <c r="AZ18" s="509"/>
      <c r="BA18" s="509"/>
      <c r="BB18" s="509"/>
      <c r="BC18" s="509"/>
      <c r="BD18" s="509"/>
      <c r="BE18" s="509"/>
      <c r="BF18" s="509"/>
      <c r="BG18" s="509"/>
      <c r="BH18" s="509"/>
      <c r="BI18" s="509"/>
      <c r="BJ18" s="509"/>
      <c r="BK18" s="509"/>
      <c r="BL18" s="509"/>
      <c r="BM18" s="509"/>
      <c r="BN18" s="509"/>
    </row>
    <row r="19" spans="4:66" customFormat="1">
      <c r="D19" s="509"/>
      <c r="E19" s="509"/>
      <c r="F19" s="509"/>
      <c r="G19" s="509"/>
      <c r="I19" s="509"/>
      <c r="J19" s="509"/>
      <c r="K19" s="509"/>
      <c r="L19" s="509"/>
      <c r="M19" s="509"/>
      <c r="N19" s="585"/>
      <c r="O19" s="585"/>
      <c r="P19" s="585"/>
      <c r="Q19" s="585"/>
      <c r="R19" s="585"/>
      <c r="S19" s="509"/>
      <c r="T19" s="509"/>
      <c r="U19" s="509"/>
      <c r="V19" s="509"/>
      <c r="W19" s="509"/>
      <c r="X19" s="509"/>
      <c r="Y19" s="509"/>
      <c r="AE19" s="509"/>
      <c r="AF19" s="509"/>
      <c r="AG19" s="509"/>
      <c r="AH19" s="509"/>
      <c r="AY19" s="509"/>
      <c r="AZ19" s="509"/>
      <c r="BA19" s="509"/>
      <c r="BB19" s="509"/>
      <c r="BC19" s="509"/>
      <c r="BD19" s="509"/>
      <c r="BE19" s="509"/>
      <c r="BF19" s="509"/>
      <c r="BG19" s="509"/>
      <c r="BH19" s="509"/>
      <c r="BI19" s="509"/>
      <c r="BJ19" s="509"/>
      <c r="BK19" s="509"/>
      <c r="BL19" s="509"/>
      <c r="BM19" s="509"/>
      <c r="BN19" s="509"/>
    </row>
    <row r="20" spans="4:66" customFormat="1">
      <c r="D20" s="509"/>
      <c r="E20" s="509"/>
      <c r="F20" s="509"/>
      <c r="G20" s="509"/>
      <c r="I20" s="509"/>
      <c r="J20" s="509"/>
      <c r="K20" s="509"/>
      <c r="L20" s="509"/>
      <c r="M20" s="509"/>
      <c r="N20" s="585"/>
      <c r="O20" s="585"/>
      <c r="P20" s="585"/>
      <c r="Q20" s="585"/>
      <c r="R20" s="585"/>
      <c r="S20" s="509"/>
      <c r="T20" s="509"/>
      <c r="U20" s="509"/>
      <c r="V20" s="509"/>
      <c r="W20" s="509"/>
      <c r="X20" s="509"/>
      <c r="Y20" s="509"/>
      <c r="AE20" s="509"/>
      <c r="AF20" s="509"/>
      <c r="AG20" s="509"/>
      <c r="AH20" s="509"/>
      <c r="AY20" s="509"/>
      <c r="AZ20" s="509"/>
      <c r="BA20" s="509"/>
      <c r="BB20" s="509"/>
      <c r="BC20" s="509"/>
      <c r="BD20" s="509"/>
      <c r="BE20" s="509"/>
      <c r="BF20" s="509"/>
      <c r="BG20" s="509"/>
      <c r="BH20" s="509"/>
      <c r="BI20" s="509"/>
      <c r="BJ20" s="509"/>
      <c r="BK20" s="509"/>
      <c r="BL20" s="509"/>
      <c r="BM20" s="509"/>
      <c r="BN20" s="509"/>
    </row>
    <row r="21" spans="4:66" customFormat="1">
      <c r="D21" s="509"/>
      <c r="E21" s="509"/>
      <c r="F21" s="509"/>
      <c r="G21" s="509"/>
      <c r="I21" s="509"/>
      <c r="J21" s="509"/>
      <c r="K21" s="509"/>
      <c r="L21" s="509"/>
      <c r="M21" s="509"/>
      <c r="N21" s="585"/>
      <c r="O21" s="585"/>
      <c r="P21" s="585"/>
      <c r="Q21" s="585"/>
      <c r="R21" s="585"/>
      <c r="S21" s="509"/>
      <c r="T21" s="509"/>
      <c r="U21" s="509"/>
      <c r="V21" s="509"/>
      <c r="W21" s="509"/>
      <c r="X21" s="509"/>
      <c r="Y21" s="509"/>
      <c r="AE21" s="509"/>
      <c r="AF21" s="509"/>
      <c r="AG21" s="509"/>
      <c r="AH21" s="509"/>
      <c r="AY21" s="509"/>
      <c r="AZ21" s="509"/>
      <c r="BA21" s="509"/>
      <c r="BB21" s="509"/>
      <c r="BC21" s="509"/>
      <c r="BD21" s="509"/>
      <c r="BE21" s="509"/>
      <c r="BF21" s="509"/>
      <c r="BG21" s="509"/>
      <c r="BH21" s="509"/>
      <c r="BI21" s="509"/>
      <c r="BJ21" s="509"/>
      <c r="BK21" s="509"/>
      <c r="BL21" s="509"/>
      <c r="BM21" s="509"/>
      <c r="BN21" s="509"/>
    </row>
    <row r="22" spans="4:66" customFormat="1">
      <c r="D22" s="509"/>
      <c r="E22" s="509"/>
      <c r="F22" s="509"/>
      <c r="G22" s="509"/>
      <c r="I22" s="509"/>
      <c r="J22" s="509"/>
      <c r="K22" s="509"/>
      <c r="L22" s="509"/>
      <c r="M22" s="509"/>
      <c r="N22" s="585"/>
      <c r="O22" s="585"/>
      <c r="P22" s="585"/>
      <c r="Q22" s="585"/>
      <c r="R22" s="585"/>
      <c r="S22" s="509"/>
      <c r="T22" s="509"/>
      <c r="U22" s="509"/>
      <c r="V22" s="509"/>
      <c r="W22" s="509"/>
      <c r="X22" s="509"/>
      <c r="Y22" s="509"/>
      <c r="AE22" s="509"/>
      <c r="AF22" s="509"/>
      <c r="AG22" s="509"/>
      <c r="AH22" s="509"/>
      <c r="AY22" s="509"/>
      <c r="AZ22" s="509"/>
      <c r="BA22" s="509"/>
      <c r="BB22" s="509"/>
      <c r="BC22" s="509"/>
      <c r="BD22" s="509"/>
      <c r="BE22" s="509"/>
      <c r="BF22" s="509"/>
      <c r="BG22" s="509"/>
      <c r="BH22" s="509"/>
      <c r="BI22" s="509"/>
      <c r="BJ22" s="509"/>
      <c r="BK22" s="509"/>
      <c r="BL22" s="509"/>
      <c r="BM22" s="509"/>
      <c r="BN22" s="509"/>
    </row>
    <row r="23" spans="4:66" customFormat="1">
      <c r="D23" s="509"/>
      <c r="E23" s="509"/>
      <c r="F23" s="509"/>
      <c r="G23" s="509"/>
      <c r="I23" s="509"/>
      <c r="J23" s="509"/>
      <c r="K23" s="509"/>
      <c r="L23" s="509"/>
      <c r="M23" s="509"/>
      <c r="N23" s="585"/>
      <c r="O23" s="585"/>
      <c r="P23" s="585"/>
      <c r="Q23" s="585"/>
      <c r="R23" s="585"/>
      <c r="S23" s="509"/>
      <c r="T23" s="509"/>
      <c r="U23" s="509"/>
      <c r="V23" s="509"/>
      <c r="W23" s="509"/>
      <c r="X23" s="509"/>
      <c r="Y23" s="509"/>
      <c r="AE23" s="509"/>
      <c r="AF23" s="509"/>
      <c r="AG23" s="509"/>
      <c r="AH23" s="509"/>
      <c r="AY23" s="509"/>
      <c r="AZ23" s="509"/>
      <c r="BA23" s="509"/>
      <c r="BB23" s="509"/>
      <c r="BC23" s="509"/>
      <c r="BD23" s="509"/>
      <c r="BE23" s="509"/>
      <c r="BF23" s="509"/>
      <c r="BG23" s="509"/>
      <c r="BH23" s="509"/>
      <c r="BI23" s="509"/>
      <c r="BJ23" s="509"/>
      <c r="BK23" s="509"/>
      <c r="BL23" s="509"/>
      <c r="BM23" s="509"/>
      <c r="BN23" s="509"/>
    </row>
    <row r="24" spans="4:66" customFormat="1">
      <c r="D24" s="509"/>
      <c r="E24" s="509"/>
      <c r="F24" s="509"/>
      <c r="G24" s="509"/>
      <c r="I24" s="509"/>
      <c r="J24" s="509"/>
      <c r="K24" s="509"/>
      <c r="L24" s="509"/>
      <c r="M24" s="509"/>
      <c r="N24" s="585"/>
      <c r="O24" s="585"/>
      <c r="P24" s="585"/>
      <c r="Q24" s="585"/>
      <c r="R24" s="585"/>
      <c r="S24" s="509"/>
      <c r="T24" s="509"/>
      <c r="U24" s="509"/>
      <c r="V24" s="509"/>
      <c r="W24" s="509"/>
      <c r="X24" s="509"/>
      <c r="Y24" s="509"/>
      <c r="AE24" s="509"/>
      <c r="AF24" s="509"/>
      <c r="AG24" s="509"/>
      <c r="AH24" s="509"/>
      <c r="AY24" s="509"/>
      <c r="AZ24" s="509"/>
      <c r="BA24" s="509"/>
      <c r="BB24" s="509"/>
      <c r="BC24" s="509"/>
      <c r="BD24" s="509"/>
      <c r="BE24" s="509"/>
      <c r="BF24" s="509"/>
      <c r="BG24" s="509"/>
      <c r="BH24" s="509"/>
      <c r="BI24" s="509"/>
      <c r="BJ24" s="509"/>
      <c r="BK24" s="509"/>
      <c r="BL24" s="509"/>
      <c r="BM24" s="509"/>
      <c r="BN24" s="509"/>
    </row>
    <row r="25" spans="4:66" customFormat="1">
      <c r="D25" s="509"/>
      <c r="E25" s="509"/>
      <c r="F25" s="509"/>
      <c r="G25" s="509"/>
      <c r="I25" s="509"/>
      <c r="J25" s="509"/>
      <c r="K25" s="509"/>
      <c r="L25" s="509"/>
      <c r="M25" s="509"/>
      <c r="N25" s="585"/>
      <c r="O25" s="585"/>
      <c r="P25" s="585"/>
      <c r="Q25" s="585"/>
      <c r="R25" s="585"/>
      <c r="S25" s="509"/>
      <c r="T25" s="509"/>
      <c r="U25" s="509"/>
      <c r="V25" s="509"/>
      <c r="W25" s="509"/>
      <c r="X25" s="509"/>
      <c r="Y25" s="509"/>
      <c r="AE25" s="509"/>
      <c r="AF25" s="509"/>
      <c r="AG25" s="509"/>
      <c r="AH25" s="509"/>
      <c r="AY25" s="509"/>
      <c r="AZ25" s="509"/>
      <c r="BA25" s="509"/>
      <c r="BB25" s="509"/>
      <c r="BC25" s="509"/>
      <c r="BD25" s="509"/>
      <c r="BE25" s="509"/>
      <c r="BF25" s="509"/>
      <c r="BG25" s="509"/>
      <c r="BH25" s="509"/>
      <c r="BI25" s="509"/>
      <c r="BJ25" s="509"/>
      <c r="BK25" s="509"/>
      <c r="BL25" s="509"/>
      <c r="BM25" s="509"/>
      <c r="BN25" s="509"/>
    </row>
    <row r="26" spans="4:66" customFormat="1">
      <c r="D26" s="509"/>
      <c r="E26" s="509"/>
      <c r="F26" s="509"/>
      <c r="G26" s="509"/>
      <c r="I26" s="509"/>
      <c r="J26" s="509"/>
      <c r="K26" s="509"/>
      <c r="L26" s="509"/>
      <c r="M26" s="509"/>
      <c r="N26" s="585"/>
      <c r="O26" s="585"/>
      <c r="P26" s="585"/>
      <c r="Q26" s="585"/>
      <c r="R26" s="585"/>
      <c r="S26" s="509"/>
      <c r="T26" s="509"/>
      <c r="U26" s="509"/>
      <c r="V26" s="509"/>
      <c r="W26" s="509"/>
      <c r="X26" s="509"/>
      <c r="Y26" s="509"/>
      <c r="AE26" s="509"/>
      <c r="AF26" s="509"/>
      <c r="AG26" s="509"/>
      <c r="AH26" s="509"/>
      <c r="AY26" s="509"/>
      <c r="AZ26" s="509"/>
      <c r="BA26" s="509"/>
      <c r="BB26" s="509"/>
      <c r="BC26" s="509"/>
      <c r="BD26" s="509"/>
      <c r="BE26" s="509"/>
      <c r="BF26" s="509"/>
      <c r="BG26" s="509"/>
      <c r="BH26" s="509"/>
      <c r="BI26" s="509"/>
      <c r="BJ26" s="509"/>
      <c r="BK26" s="509"/>
      <c r="BL26" s="509"/>
      <c r="BM26" s="509"/>
      <c r="BN26" s="509"/>
    </row>
    <row r="27" spans="4:66" customFormat="1">
      <c r="D27" s="509"/>
      <c r="E27" s="509"/>
      <c r="F27" s="509"/>
      <c r="G27" s="509"/>
      <c r="I27" s="509"/>
      <c r="J27" s="509"/>
      <c r="K27" s="509"/>
      <c r="L27" s="509"/>
      <c r="M27" s="509"/>
      <c r="N27" s="585"/>
      <c r="O27" s="585"/>
      <c r="P27" s="585"/>
      <c r="Q27" s="585"/>
      <c r="R27" s="585"/>
      <c r="S27" s="509"/>
      <c r="T27" s="509"/>
      <c r="U27" s="509"/>
      <c r="V27" s="509"/>
      <c r="W27" s="509"/>
      <c r="X27" s="509"/>
      <c r="Y27" s="509"/>
      <c r="AE27" s="509"/>
      <c r="AF27" s="509"/>
      <c r="AG27" s="509"/>
      <c r="AH27" s="509"/>
      <c r="AY27" s="509"/>
      <c r="AZ27" s="509"/>
      <c r="BA27" s="509"/>
      <c r="BB27" s="509"/>
      <c r="BC27" s="509"/>
      <c r="BD27" s="509"/>
      <c r="BE27" s="509"/>
      <c r="BF27" s="509"/>
      <c r="BG27" s="509"/>
      <c r="BH27" s="509"/>
      <c r="BI27" s="509"/>
      <c r="BJ27" s="509"/>
      <c r="BK27" s="509"/>
      <c r="BL27" s="509"/>
      <c r="BM27" s="509"/>
      <c r="BN27" s="509"/>
    </row>
  </sheetData>
  <mergeCells count="6">
    <mergeCell ref="A2:B2"/>
    <mergeCell ref="AY2:BN2"/>
    <mergeCell ref="C1:AD1"/>
    <mergeCell ref="AI2:AX2"/>
    <mergeCell ref="C2:N2"/>
    <mergeCell ref="S2:AD2"/>
  </mergeCells>
  <conditionalFormatting sqref="D4">
    <cfRule type="cellIs" dxfId="124" priority="13" operator="equal">
      <formula>9999</formula>
    </cfRule>
  </conditionalFormatting>
  <conditionalFormatting sqref="C6:N8 S5:AD8 AI5:AT8 C5">
    <cfRule type="cellIs" dxfId="123" priority="12" operator="equal">
      <formula>9999</formula>
    </cfRule>
  </conditionalFormatting>
  <conditionalFormatting sqref="E4:N4 S4:AD4 AI4:AT4">
    <cfRule type="cellIs" dxfId="122" priority="11" operator="equal">
      <formula>9999</formula>
    </cfRule>
  </conditionalFormatting>
  <conditionalFormatting sqref="O4:R8">
    <cfRule type="cellIs" dxfId="121" priority="9" operator="equal">
      <formula>9999</formula>
    </cfRule>
  </conditionalFormatting>
  <conditionalFormatting sqref="AE4:AH8">
    <cfRule type="cellIs" dxfId="120" priority="8" operator="equal">
      <formula>9999</formula>
    </cfRule>
  </conditionalFormatting>
  <conditionalFormatting sqref="AU4:AX8">
    <cfRule type="cellIs" dxfId="119" priority="6" operator="equal">
      <formula>9999</formula>
    </cfRule>
  </conditionalFormatting>
  <conditionalFormatting sqref="AY8:BJ8 AY5:AY7 BA5:BJ7">
    <cfRule type="cellIs" dxfId="118" priority="5" operator="equal">
      <formula>9999</formula>
    </cfRule>
  </conditionalFormatting>
  <conditionalFormatting sqref="AY4:BJ4">
    <cfRule type="cellIs" dxfId="117" priority="4" operator="equal">
      <formula>9999</formula>
    </cfRule>
  </conditionalFormatting>
  <conditionalFormatting sqref="BK4:BN8">
    <cfRule type="cellIs" dxfId="116" priority="3" operator="equal">
      <formula>9999</formula>
    </cfRule>
  </conditionalFormatting>
  <conditionalFormatting sqref="D5:N5">
    <cfRule type="cellIs" dxfId="115" priority="2" operator="equal">
      <formula>9999</formula>
    </cfRule>
  </conditionalFormatting>
  <conditionalFormatting sqref="AZ5:AZ7">
    <cfRule type="cellIs" dxfId="114" priority="1" operator="equal">
      <formula>9999</formula>
    </cfRule>
  </conditionalFormatting>
  <hyperlinks>
    <hyperlink ref="B1" location="Accueil!A1" display="Accueil"/>
  </hyperlink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4"/>
  <dimension ref="A1:I3"/>
  <sheetViews>
    <sheetView workbookViewId="0">
      <selection activeCell="B7" sqref="B7"/>
    </sheetView>
  </sheetViews>
  <sheetFormatPr baseColWidth="10" defaultRowHeight="12.75"/>
  <cols>
    <col min="1" max="1" width="18.140625" customWidth="1"/>
    <col min="2" max="2" width="23.5703125" customWidth="1"/>
    <col min="9" max="9" width="49.5703125" customWidth="1"/>
  </cols>
  <sheetData>
    <row r="1" spans="1:9" s="553" customFormat="1" ht="22.5">
      <c r="A1" s="158" t="s">
        <v>73</v>
      </c>
      <c r="B1" s="158" t="s">
        <v>771</v>
      </c>
      <c r="C1" s="158"/>
      <c r="D1" s="554" t="s">
        <v>769</v>
      </c>
      <c r="E1" s="555" t="s">
        <v>770</v>
      </c>
      <c r="F1" s="556" t="s">
        <v>349</v>
      </c>
      <c r="G1" s="556" t="s">
        <v>129</v>
      </c>
      <c r="H1" s="556" t="s">
        <v>725</v>
      </c>
      <c r="I1" s="556" t="s">
        <v>774</v>
      </c>
    </row>
    <row r="2" spans="1:9">
      <c r="A2" t="s">
        <v>744</v>
      </c>
    </row>
    <row r="3" spans="1:9">
      <c r="A3" t="s">
        <v>764</v>
      </c>
      <c r="B3" t="s">
        <v>772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3"/>
  <dimension ref="A1:W10"/>
  <sheetViews>
    <sheetView topLeftCell="C1" workbookViewId="0">
      <selection activeCell="I36" sqref="I36"/>
    </sheetView>
  </sheetViews>
  <sheetFormatPr baseColWidth="10" defaultRowHeight="12.75"/>
  <cols>
    <col min="1" max="1" width="11.42578125" style="549"/>
    <col min="3" max="3" width="32.85546875" customWidth="1"/>
    <col min="6" max="6" width="14.85546875" style="542" customWidth="1"/>
    <col min="15" max="15" width="65.28515625" customWidth="1"/>
  </cols>
  <sheetData>
    <row r="1" spans="1:23" ht="25.5" customHeight="1">
      <c r="A1" s="550" t="s">
        <v>218</v>
      </c>
      <c r="B1" s="543" t="s">
        <v>743</v>
      </c>
      <c r="C1" s="543" t="s">
        <v>740</v>
      </c>
      <c r="D1" s="543" t="s">
        <v>738</v>
      </c>
      <c r="E1" s="543" t="s">
        <v>739</v>
      </c>
      <c r="F1" s="544" t="s">
        <v>745</v>
      </c>
      <c r="G1" s="544" t="s">
        <v>741</v>
      </c>
      <c r="H1" s="544" t="s">
        <v>742</v>
      </c>
      <c r="I1" s="546" t="s">
        <v>746</v>
      </c>
      <c r="J1" s="546" t="s">
        <v>741</v>
      </c>
      <c r="K1" s="546" t="s">
        <v>742</v>
      </c>
      <c r="L1" s="545" t="s">
        <v>747</v>
      </c>
      <c r="M1" s="545" t="s">
        <v>741</v>
      </c>
      <c r="N1" s="545" t="s">
        <v>742</v>
      </c>
      <c r="O1" s="547" t="s">
        <v>748</v>
      </c>
      <c r="P1" s="548" t="s">
        <v>749</v>
      </c>
    </row>
    <row r="2" spans="1:23">
      <c r="A2" s="549">
        <v>1</v>
      </c>
      <c r="B2" t="s">
        <v>744</v>
      </c>
      <c r="C2" t="s">
        <v>775</v>
      </c>
      <c r="D2" s="147">
        <v>42683</v>
      </c>
      <c r="E2" s="147">
        <v>43020</v>
      </c>
      <c r="F2" s="542" t="s">
        <v>99</v>
      </c>
      <c r="G2" s="147">
        <v>42768</v>
      </c>
      <c r="I2" t="s">
        <v>60</v>
      </c>
      <c r="L2" t="s">
        <v>60</v>
      </c>
      <c r="W2">
        <v>1</v>
      </c>
    </row>
    <row r="3" spans="1:23">
      <c r="A3" s="549">
        <v>2</v>
      </c>
      <c r="B3" t="s">
        <v>764</v>
      </c>
      <c r="C3" t="s">
        <v>765</v>
      </c>
      <c r="F3" s="542" t="s">
        <v>60</v>
      </c>
      <c r="I3" s="542" t="s">
        <v>60</v>
      </c>
      <c r="L3" s="542" t="s">
        <v>99</v>
      </c>
      <c r="O3" t="s">
        <v>768</v>
      </c>
      <c r="P3" t="s">
        <v>750</v>
      </c>
      <c r="W3">
        <v>1</v>
      </c>
    </row>
    <row r="4" spans="1:23">
      <c r="A4" s="549">
        <v>2</v>
      </c>
      <c r="B4" t="s">
        <v>766</v>
      </c>
      <c r="C4" t="s">
        <v>767</v>
      </c>
      <c r="D4" s="147">
        <v>42744</v>
      </c>
      <c r="E4" t="s">
        <v>25</v>
      </c>
      <c r="F4" s="542" t="s">
        <v>60</v>
      </c>
      <c r="G4" t="s">
        <v>755</v>
      </c>
      <c r="H4" t="s">
        <v>756</v>
      </c>
      <c r="I4" s="551" t="s">
        <v>60</v>
      </c>
      <c r="L4" s="551" t="s">
        <v>60</v>
      </c>
      <c r="O4" t="s">
        <v>776</v>
      </c>
      <c r="P4" t="s">
        <v>761</v>
      </c>
    </row>
    <row r="5" spans="1:23">
      <c r="A5" s="549">
        <v>5</v>
      </c>
      <c r="B5" t="s">
        <v>753</v>
      </c>
    </row>
    <row r="6" spans="1:23">
      <c r="A6" s="552">
        <v>5</v>
      </c>
      <c r="B6" t="s">
        <v>753</v>
      </c>
      <c r="C6" t="s">
        <v>751</v>
      </c>
      <c r="D6" t="s">
        <v>752</v>
      </c>
      <c r="E6" t="s">
        <v>754</v>
      </c>
      <c r="F6" s="542" t="s">
        <v>762</v>
      </c>
      <c r="G6" t="s">
        <v>755</v>
      </c>
      <c r="H6" t="s">
        <v>756</v>
      </c>
      <c r="I6" t="s">
        <v>762</v>
      </c>
      <c r="J6" t="s">
        <v>757</v>
      </c>
      <c r="K6" t="s">
        <v>758</v>
      </c>
      <c r="L6" t="s">
        <v>762</v>
      </c>
      <c r="M6" t="s">
        <v>759</v>
      </c>
      <c r="N6" t="s">
        <v>760</v>
      </c>
    </row>
    <row r="7" spans="1:23">
      <c r="A7" s="552">
        <v>5</v>
      </c>
      <c r="B7" t="s">
        <v>753</v>
      </c>
      <c r="C7" t="s">
        <v>751</v>
      </c>
      <c r="D7" t="s">
        <v>752</v>
      </c>
      <c r="E7" t="s">
        <v>754</v>
      </c>
      <c r="F7" s="542" t="s">
        <v>99</v>
      </c>
      <c r="I7" t="s">
        <v>99</v>
      </c>
      <c r="L7" t="s">
        <v>99</v>
      </c>
    </row>
    <row r="8" spans="1:23">
      <c r="A8" s="552">
        <v>5</v>
      </c>
      <c r="B8" t="s">
        <v>753</v>
      </c>
      <c r="C8" t="s">
        <v>751</v>
      </c>
      <c r="D8" t="s">
        <v>752</v>
      </c>
      <c r="E8" t="s">
        <v>754</v>
      </c>
      <c r="F8" s="542" t="s">
        <v>99</v>
      </c>
      <c r="I8" t="s">
        <v>99</v>
      </c>
      <c r="L8" t="s">
        <v>99</v>
      </c>
    </row>
    <row r="9" spans="1:23">
      <c r="A9" s="549">
        <v>4</v>
      </c>
      <c r="B9" t="s">
        <v>763</v>
      </c>
      <c r="F9" s="542" t="s">
        <v>60</v>
      </c>
      <c r="I9" t="s">
        <v>773</v>
      </c>
      <c r="L9" t="s">
        <v>60</v>
      </c>
    </row>
    <row r="10" spans="1:23">
      <c r="A10" s="549">
        <v>2</v>
      </c>
      <c r="B10" t="s">
        <v>763</v>
      </c>
      <c r="F10" s="542" t="s">
        <v>60</v>
      </c>
      <c r="I10" t="s">
        <v>60</v>
      </c>
      <c r="L10" t="s">
        <v>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I24"/>
  <sheetViews>
    <sheetView topLeftCell="C1" zoomScale="84" zoomScaleNormal="84" workbookViewId="0">
      <pane xSplit="2" ySplit="3" topLeftCell="BM4" activePane="bottomRight" state="frozen"/>
      <selection activeCell="C1" sqref="C1"/>
      <selection pane="topRight" activeCell="E1" sqref="E1"/>
      <selection pane="bottomLeft" activeCell="C4" sqref="C4"/>
      <selection pane="bottomRight" activeCell="CE17" sqref="CE17"/>
    </sheetView>
  </sheetViews>
  <sheetFormatPr baseColWidth="10" defaultRowHeight="12.75"/>
  <cols>
    <col min="1" max="1" width="5.7109375" hidden="1" customWidth="1"/>
    <col min="2" max="2" width="5.7109375" style="12" hidden="1" customWidth="1"/>
    <col min="3" max="3" width="12.7109375" customWidth="1"/>
    <col min="4" max="4" width="5.7109375" customWidth="1"/>
    <col min="5" max="5" width="18" customWidth="1"/>
    <col min="6" max="6" width="21.42578125" customWidth="1"/>
    <col min="7" max="7" width="4.5703125" customWidth="1"/>
    <col min="8" max="8" width="18" customWidth="1"/>
    <col min="9" max="10" width="9.85546875" customWidth="1"/>
    <col min="11" max="12" width="7.42578125" customWidth="1"/>
    <col min="13" max="13" width="7.28515625" customWidth="1"/>
    <col min="14" max="14" width="9.140625" customWidth="1"/>
    <col min="15" max="15" width="1.42578125" style="80" customWidth="1"/>
    <col min="27" max="27" width="10.7109375" customWidth="1"/>
    <col min="28" max="28" width="10.85546875" customWidth="1"/>
    <col min="29" max="29" width="22.140625" customWidth="1"/>
    <col min="30" max="30" width="27.140625" customWidth="1"/>
    <col min="31" max="31" width="12.5703125" customWidth="1"/>
    <col min="32" max="32" width="12.7109375" customWidth="1"/>
    <col min="33" max="33" width="13.28515625" customWidth="1"/>
    <col min="36" max="40" width="1.7109375" style="336" customWidth="1"/>
    <col min="41" max="41" width="7.140625" customWidth="1"/>
    <col min="42" max="42" width="7" customWidth="1"/>
    <col min="43" max="43" width="8.85546875" customWidth="1"/>
    <col min="49" max="49" width="5" customWidth="1"/>
    <col min="50" max="50" width="3.5703125" customWidth="1"/>
    <col min="51" max="51" width="4" customWidth="1"/>
    <col min="52" max="52" width="3.28515625" customWidth="1"/>
    <col min="58" max="58" width="9" customWidth="1"/>
    <col min="60" max="61" width="8" style="450" customWidth="1"/>
    <col min="62" max="62" width="8.140625" style="475" customWidth="1"/>
    <col min="63" max="63" width="11.42578125" style="450"/>
    <col min="64" max="64" width="9.85546875" customWidth="1"/>
    <col min="65" max="65" width="11.42578125" style="475"/>
    <col min="67" max="67" width="11.42578125" style="475"/>
    <col min="69" max="69" width="15.42578125" customWidth="1"/>
    <col min="70" max="70" width="17.28515625" customWidth="1"/>
    <col min="74" max="74" width="10" customWidth="1"/>
    <col min="75" max="75" width="10.140625" customWidth="1"/>
    <col min="81" max="81" width="7.5703125" style="509" customWidth="1"/>
    <col min="85" max="85" width="7.140625" customWidth="1"/>
  </cols>
  <sheetData>
    <row r="1" spans="2:87" ht="15.75">
      <c r="C1" s="105" t="s">
        <v>61</v>
      </c>
      <c r="F1" s="63" t="s">
        <v>34</v>
      </c>
      <c r="I1" s="670" t="s">
        <v>9</v>
      </c>
      <c r="J1" s="670"/>
      <c r="K1" s="670"/>
      <c r="L1" s="670"/>
      <c r="M1" s="670"/>
      <c r="N1" s="78" t="s">
        <v>65</v>
      </c>
      <c r="O1" s="79"/>
      <c r="P1" s="12" t="s">
        <v>35</v>
      </c>
      <c r="Q1" s="12" t="s">
        <v>98</v>
      </c>
      <c r="R1" s="12" t="s">
        <v>38</v>
      </c>
      <c r="S1" s="12" t="s">
        <v>39</v>
      </c>
      <c r="T1" s="666" t="s">
        <v>193</v>
      </c>
      <c r="U1" s="666"/>
      <c r="V1" s="666"/>
      <c r="W1" s="666"/>
      <c r="X1" s="666"/>
      <c r="Y1" s="667" t="s">
        <v>192</v>
      </c>
      <c r="Z1" s="667"/>
      <c r="AA1" s="671" t="s">
        <v>123</v>
      </c>
      <c r="AB1" s="671"/>
      <c r="AC1" s="672" t="s">
        <v>45</v>
      </c>
      <c r="AD1" s="673"/>
      <c r="AE1" s="673"/>
      <c r="AF1" s="673"/>
      <c r="AG1" s="673"/>
      <c r="AH1" s="652"/>
      <c r="AI1" s="652"/>
      <c r="AJ1" s="652"/>
      <c r="AK1" s="652"/>
      <c r="AL1" s="652"/>
      <c r="AM1" s="652"/>
      <c r="AN1" s="652"/>
      <c r="AO1" s="668" t="s">
        <v>15</v>
      </c>
      <c r="AP1" s="669"/>
      <c r="AQ1" s="669"/>
      <c r="AR1" s="669"/>
      <c r="AS1" s="669"/>
      <c r="AT1" s="669"/>
      <c r="AU1" s="669"/>
      <c r="AV1" s="667" t="s">
        <v>517</v>
      </c>
      <c r="AW1" s="667"/>
      <c r="AX1" s="667"/>
      <c r="AY1" s="667"/>
      <c r="AZ1" s="667"/>
      <c r="BA1" s="666" t="s">
        <v>533</v>
      </c>
      <c r="BB1" s="666"/>
      <c r="BC1" s="666"/>
      <c r="BD1" s="666"/>
      <c r="BE1" s="666"/>
      <c r="BF1" s="674" t="s">
        <v>562</v>
      </c>
      <c r="BG1" s="675"/>
      <c r="BH1" s="675"/>
      <c r="BI1" s="675"/>
      <c r="BJ1" s="675"/>
      <c r="BK1" s="675"/>
      <c r="BL1" s="675"/>
      <c r="BM1" s="652"/>
      <c r="BN1" s="652"/>
      <c r="BO1" s="652"/>
      <c r="BP1" s="652"/>
      <c r="BQ1" s="652"/>
      <c r="BR1" s="652"/>
      <c r="BS1" s="652"/>
      <c r="BT1" s="652"/>
      <c r="BU1" s="652"/>
      <c r="BV1" s="652"/>
      <c r="BW1" s="652"/>
      <c r="BX1" s="652"/>
      <c r="BY1" s="652"/>
      <c r="BZ1" s="665" t="s">
        <v>724</v>
      </c>
      <c r="CA1" s="665"/>
      <c r="CB1" s="665"/>
      <c r="CC1" s="665"/>
      <c r="CD1" s="665"/>
      <c r="CE1" s="665"/>
      <c r="CF1" s="665"/>
      <c r="CG1" s="665"/>
      <c r="CH1" s="665"/>
      <c r="CI1" s="665"/>
    </row>
    <row r="2" spans="2:87" s="84" customFormat="1" ht="69" customHeight="1">
      <c r="B2" s="8"/>
      <c r="I2" s="157" t="s">
        <v>16</v>
      </c>
      <c r="J2" s="85" t="s">
        <v>102</v>
      </c>
      <c r="K2" s="661" t="s">
        <v>66</v>
      </c>
      <c r="L2" s="661"/>
      <c r="M2" s="661"/>
      <c r="O2" s="86"/>
      <c r="T2" s="8" t="s">
        <v>194</v>
      </c>
      <c r="U2" s="8" t="s">
        <v>208</v>
      </c>
      <c r="V2" s="8" t="s">
        <v>207</v>
      </c>
      <c r="W2" s="8" t="s">
        <v>36</v>
      </c>
      <c r="X2" s="8" t="s">
        <v>178</v>
      </c>
      <c r="Y2" s="620" t="s">
        <v>37</v>
      </c>
      <c r="Z2" s="448" t="s">
        <v>566</v>
      </c>
      <c r="AA2" s="8" t="s">
        <v>191</v>
      </c>
      <c r="AB2" s="8" t="s">
        <v>44</v>
      </c>
      <c r="AC2" s="304" t="s">
        <v>73</v>
      </c>
      <c r="AD2" s="304" t="s">
        <v>189</v>
      </c>
      <c r="AE2" s="304" t="s">
        <v>188</v>
      </c>
      <c r="AF2" s="304" t="s">
        <v>129</v>
      </c>
      <c r="AG2" s="304" t="s">
        <v>190</v>
      </c>
      <c r="AH2" s="304" t="s">
        <v>349</v>
      </c>
      <c r="AI2" s="304" t="s">
        <v>352</v>
      </c>
      <c r="AJ2" s="414"/>
      <c r="AK2" s="371"/>
      <c r="AL2" s="371"/>
      <c r="AM2" s="371"/>
      <c r="AN2" s="371"/>
      <c r="AO2" s="373" t="s">
        <v>441</v>
      </c>
      <c r="AP2" s="373" t="s">
        <v>442</v>
      </c>
      <c r="AQ2" s="372" t="s">
        <v>443</v>
      </c>
      <c r="AR2" s="372" t="s">
        <v>444</v>
      </c>
      <c r="AS2" s="373" t="s">
        <v>693</v>
      </c>
      <c r="AV2" s="433" t="s">
        <v>518</v>
      </c>
      <c r="BA2" s="268" t="s">
        <v>534</v>
      </c>
      <c r="BF2" s="84" t="s">
        <v>555</v>
      </c>
      <c r="BG2" s="84" t="s">
        <v>556</v>
      </c>
      <c r="BH2" s="268" t="s">
        <v>559</v>
      </c>
      <c r="BI2" s="268" t="s">
        <v>558</v>
      </c>
      <c r="BJ2" s="478" t="s">
        <v>560</v>
      </c>
      <c r="BK2" s="268" t="s">
        <v>564</v>
      </c>
      <c r="BL2" s="268" t="s">
        <v>565</v>
      </c>
      <c r="BM2" s="268" t="s">
        <v>643</v>
      </c>
      <c r="BN2" s="478" t="s">
        <v>644</v>
      </c>
      <c r="BO2" s="268" t="s">
        <v>645</v>
      </c>
      <c r="BP2" s="268" t="s">
        <v>646</v>
      </c>
      <c r="BQ2" s="480" t="s">
        <v>613</v>
      </c>
      <c r="BR2" s="480" t="s">
        <v>647</v>
      </c>
      <c r="BS2" s="510" t="s">
        <v>672</v>
      </c>
      <c r="BT2" s="84" t="s">
        <v>720</v>
      </c>
      <c r="BU2" s="268" t="s">
        <v>721</v>
      </c>
      <c r="BV2" s="268" t="s">
        <v>793</v>
      </c>
      <c r="BW2" s="268" t="s">
        <v>792</v>
      </c>
      <c r="BX2" s="268" t="s">
        <v>794</v>
      </c>
      <c r="BY2" s="84" t="s">
        <v>795</v>
      </c>
      <c r="BZ2" s="676" t="s">
        <v>10</v>
      </c>
      <c r="CA2" s="676"/>
      <c r="CB2" s="676"/>
      <c r="CC2" s="676"/>
      <c r="CD2" s="677" t="s">
        <v>224</v>
      </c>
      <c r="CE2" s="677"/>
      <c r="CF2" s="677"/>
      <c r="CG2" s="678"/>
    </row>
    <row r="3" spans="2:87" s="84" customFormat="1" ht="22.5">
      <c r="B3" s="8"/>
      <c r="C3" s="158" t="s">
        <v>5</v>
      </c>
      <c r="D3" s="159" t="s">
        <v>120</v>
      </c>
      <c r="J3" s="160"/>
      <c r="K3" s="240" t="s">
        <v>71</v>
      </c>
      <c r="L3" s="240" t="s">
        <v>70</v>
      </c>
      <c r="O3" s="86"/>
      <c r="U3" s="201"/>
      <c r="X3" s="201"/>
      <c r="AJ3" s="371"/>
      <c r="AK3" s="371"/>
      <c r="AL3" s="371"/>
      <c r="AM3" s="371"/>
      <c r="AN3" s="371"/>
      <c r="BF3" s="83" t="s">
        <v>561</v>
      </c>
      <c r="BG3" s="444" t="s">
        <v>561</v>
      </c>
      <c r="BH3" s="83" t="s">
        <v>561</v>
      </c>
      <c r="BI3" s="83" t="s">
        <v>561</v>
      </c>
      <c r="BJ3" s="83" t="s">
        <v>561</v>
      </c>
      <c r="BK3" s="444" t="s">
        <v>561</v>
      </c>
      <c r="BL3" s="444" t="s">
        <v>561</v>
      </c>
      <c r="BM3" s="83" t="s">
        <v>648</v>
      </c>
      <c r="BN3" s="83" t="s">
        <v>648</v>
      </c>
      <c r="BO3" s="83" t="s">
        <v>648</v>
      </c>
      <c r="BP3" s="83" t="s">
        <v>648</v>
      </c>
      <c r="BQ3" s="83" t="s">
        <v>648</v>
      </c>
      <c r="BR3" s="83" t="s">
        <v>648</v>
      </c>
      <c r="BS3" s="444" t="s">
        <v>561</v>
      </c>
      <c r="BT3" s="444" t="s">
        <v>561</v>
      </c>
      <c r="BU3" s="444" t="s">
        <v>561</v>
      </c>
      <c r="BZ3" s="540" t="s">
        <v>725</v>
      </c>
      <c r="CA3" s="540" t="s">
        <v>726</v>
      </c>
      <c r="CB3" s="540" t="s">
        <v>49</v>
      </c>
      <c r="CC3" s="604" t="s">
        <v>64</v>
      </c>
      <c r="CD3" s="84" t="s">
        <v>225</v>
      </c>
      <c r="CE3" s="84" t="s">
        <v>843</v>
      </c>
      <c r="CF3" s="617" t="s">
        <v>864</v>
      </c>
      <c r="CG3" s="84" t="s">
        <v>64</v>
      </c>
    </row>
    <row r="4" spans="2:87">
      <c r="B4" s="12">
        <f t="shared" ref="B4:B9" si="0">D4</f>
        <v>1</v>
      </c>
      <c r="C4" s="171" t="s">
        <v>638</v>
      </c>
      <c r="D4" s="172">
        <v>1</v>
      </c>
      <c r="E4" s="171" t="s">
        <v>6</v>
      </c>
      <c r="F4" s="173" t="s">
        <v>918</v>
      </c>
      <c r="G4" s="174"/>
      <c r="H4" s="175" t="s">
        <v>921</v>
      </c>
      <c r="I4" s="176" t="s">
        <v>344</v>
      </c>
      <c r="J4" s="177" t="s">
        <v>358</v>
      </c>
      <c r="K4" s="176" t="s">
        <v>355</v>
      </c>
      <c r="L4" s="176" t="s">
        <v>356</v>
      </c>
      <c r="M4" s="178" t="s">
        <v>357</v>
      </c>
      <c r="N4" s="176" t="s">
        <v>326</v>
      </c>
      <c r="O4" s="179"/>
      <c r="P4" s="180" t="s">
        <v>97</v>
      </c>
      <c r="Q4" s="180">
        <v>30</v>
      </c>
      <c r="R4" s="181" t="s">
        <v>60</v>
      </c>
      <c r="S4" s="181" t="b">
        <v>0</v>
      </c>
      <c r="T4" s="181" t="s">
        <v>60</v>
      </c>
      <c r="U4" s="182" t="s">
        <v>457</v>
      </c>
      <c r="V4" s="181" t="s">
        <v>60</v>
      </c>
      <c r="W4" s="182" t="s">
        <v>342</v>
      </c>
      <c r="X4" s="182" t="s">
        <v>343</v>
      </c>
      <c r="Y4" s="181" t="s">
        <v>122</v>
      </c>
      <c r="Z4" s="181" t="s">
        <v>60</v>
      </c>
      <c r="AA4" s="239" t="s">
        <v>459</v>
      </c>
      <c r="AB4" s="239" t="s">
        <v>459</v>
      </c>
      <c r="AC4" s="182" t="s">
        <v>346</v>
      </c>
      <c r="AD4" s="305" t="s">
        <v>923</v>
      </c>
      <c r="AE4" s="180" t="s">
        <v>924</v>
      </c>
      <c r="AF4" s="807" t="s">
        <v>925</v>
      </c>
      <c r="AG4" s="181" t="s">
        <v>493</v>
      </c>
      <c r="AH4" s="386" t="s">
        <v>926</v>
      </c>
      <c r="AI4" s="181" t="s">
        <v>491</v>
      </c>
      <c r="AO4" s="518" t="s">
        <v>99</v>
      </c>
      <c r="AP4" s="518" t="s">
        <v>60</v>
      </c>
      <c r="AQ4" s="518" t="s">
        <v>99</v>
      </c>
      <c r="AR4" s="518" t="s">
        <v>99</v>
      </c>
      <c r="AS4" s="518" t="s">
        <v>60</v>
      </c>
      <c r="BA4" t="s">
        <v>232</v>
      </c>
      <c r="BF4" t="s">
        <v>669</v>
      </c>
      <c r="BH4" s="450" t="s">
        <v>60</v>
      </c>
      <c r="BI4" s="450" t="s">
        <v>60</v>
      </c>
      <c r="BK4" s="450" t="s">
        <v>60</v>
      </c>
      <c r="BM4" s="475" t="s">
        <v>99</v>
      </c>
      <c r="BN4" s="479">
        <v>1</v>
      </c>
      <c r="BO4" s="475" t="s">
        <v>60</v>
      </c>
      <c r="BP4" s="479">
        <v>11</v>
      </c>
      <c r="BQ4" s="479" t="s">
        <v>99</v>
      </c>
      <c r="BR4" s="479" t="s">
        <v>99</v>
      </c>
      <c r="BT4" t="s">
        <v>60</v>
      </c>
      <c r="BY4" t="s">
        <v>797</v>
      </c>
      <c r="BZ4" s="444" t="s">
        <v>561</v>
      </c>
      <c r="CA4" s="83" t="s">
        <v>727</v>
      </c>
      <c r="CB4" s="444" t="s">
        <v>561</v>
      </c>
      <c r="CC4" s="83"/>
      <c r="CD4" t="s">
        <v>846</v>
      </c>
      <c r="CE4" t="s">
        <v>847</v>
      </c>
      <c r="CF4" s="509">
        <v>123456</v>
      </c>
    </row>
    <row r="5" spans="2:87" s="509" customFormat="1">
      <c r="B5" s="638">
        <f t="shared" ref="B5:B7" si="1">D5</f>
        <v>5</v>
      </c>
      <c r="C5" s="183" t="s">
        <v>56</v>
      </c>
      <c r="D5" s="184">
        <v>5</v>
      </c>
      <c r="E5" s="183" t="s">
        <v>56</v>
      </c>
      <c r="F5" s="183"/>
      <c r="G5" s="183"/>
      <c r="H5" s="183" t="s">
        <v>223</v>
      </c>
      <c r="I5" s="176" t="s">
        <v>223</v>
      </c>
      <c r="J5" s="183" t="s">
        <v>223</v>
      </c>
      <c r="K5" s="176" t="s">
        <v>355</v>
      </c>
      <c r="L5" s="183" t="s">
        <v>223</v>
      </c>
      <c r="M5" s="183" t="s">
        <v>223</v>
      </c>
      <c r="N5" s="176" t="s">
        <v>223</v>
      </c>
      <c r="O5" s="179"/>
      <c r="P5" s="182" t="s">
        <v>223</v>
      </c>
      <c r="Q5" s="182"/>
      <c r="R5" s="182" t="s">
        <v>223</v>
      </c>
      <c r="S5" s="182" t="s">
        <v>223</v>
      </c>
      <c r="T5" s="182"/>
      <c r="U5" s="182"/>
      <c r="V5" s="181" t="s">
        <v>60</v>
      </c>
      <c r="W5" s="182"/>
      <c r="X5" s="182"/>
      <c r="Y5" s="181" t="s">
        <v>223</v>
      </c>
      <c r="Z5" s="182" t="s">
        <v>223</v>
      </c>
      <c r="AA5" s="182" t="s">
        <v>223</v>
      </c>
      <c r="AB5" s="182" t="s">
        <v>223</v>
      </c>
      <c r="AC5" s="182"/>
      <c r="AD5" s="181"/>
      <c r="AE5" s="181" t="s">
        <v>223</v>
      </c>
      <c r="AF5" s="181" t="s">
        <v>223</v>
      </c>
      <c r="AG5" s="181" t="s">
        <v>223</v>
      </c>
      <c r="AH5" s="181" t="s">
        <v>353</v>
      </c>
      <c r="AI5" s="181" t="s">
        <v>354</v>
      </c>
      <c r="AJ5" s="336"/>
      <c r="AK5" s="336"/>
      <c r="AL5" s="336"/>
      <c r="AM5" s="336"/>
      <c r="AN5" s="336"/>
      <c r="AO5" s="638" t="s">
        <v>60</v>
      </c>
      <c r="AP5" s="638" t="s">
        <v>60</v>
      </c>
      <c r="AQ5" s="638" t="s">
        <v>60</v>
      </c>
      <c r="AR5" s="638" t="s">
        <v>60</v>
      </c>
      <c r="AS5" s="638"/>
      <c r="BH5" s="638"/>
      <c r="BI5" s="638"/>
      <c r="BJ5" s="638"/>
      <c r="BK5" s="638"/>
      <c r="BM5" s="638"/>
      <c r="BO5" s="638"/>
      <c r="CA5" s="83" t="s">
        <v>728</v>
      </c>
      <c r="CD5" s="509" t="s">
        <v>844</v>
      </c>
      <c r="CE5" s="509" t="s">
        <v>845</v>
      </c>
      <c r="CF5" s="509">
        <v>123456</v>
      </c>
    </row>
    <row r="6" spans="2:87" s="509" customFormat="1">
      <c r="B6" s="638">
        <f t="shared" si="1"/>
        <v>5</v>
      </c>
      <c r="C6" s="183" t="s">
        <v>56</v>
      </c>
      <c r="D6" s="184">
        <v>5</v>
      </c>
      <c r="E6" s="183" t="s">
        <v>56</v>
      </c>
      <c r="F6" s="183"/>
      <c r="G6" s="183"/>
      <c r="H6" s="183" t="s">
        <v>223</v>
      </c>
      <c r="I6" s="176" t="s">
        <v>223</v>
      </c>
      <c r="J6" s="183" t="s">
        <v>223</v>
      </c>
      <c r="K6" s="176" t="s">
        <v>355</v>
      </c>
      <c r="L6" s="183" t="s">
        <v>223</v>
      </c>
      <c r="M6" s="183" t="s">
        <v>223</v>
      </c>
      <c r="N6" s="176" t="s">
        <v>223</v>
      </c>
      <c r="O6" s="179"/>
      <c r="P6" s="182" t="s">
        <v>223</v>
      </c>
      <c r="Q6" s="182"/>
      <c r="R6" s="182" t="s">
        <v>223</v>
      </c>
      <c r="S6" s="182" t="s">
        <v>223</v>
      </c>
      <c r="T6" s="182"/>
      <c r="U6" s="182"/>
      <c r="V6" s="181" t="s">
        <v>60</v>
      </c>
      <c r="W6" s="182"/>
      <c r="X6" s="182"/>
      <c r="Y6" s="181" t="s">
        <v>223</v>
      </c>
      <c r="Z6" s="182" t="s">
        <v>223</v>
      </c>
      <c r="AA6" s="182" t="s">
        <v>223</v>
      </c>
      <c r="AB6" s="182" t="s">
        <v>223</v>
      </c>
      <c r="AC6" s="182"/>
      <c r="AD6" s="181"/>
      <c r="AE6" s="181" t="s">
        <v>223</v>
      </c>
      <c r="AF6" s="181" t="s">
        <v>223</v>
      </c>
      <c r="AG6" s="181" t="s">
        <v>223</v>
      </c>
      <c r="AH6" s="181" t="s">
        <v>353</v>
      </c>
      <c r="AI6" s="181" t="s">
        <v>354</v>
      </c>
      <c r="AJ6" s="336"/>
      <c r="AK6" s="336"/>
      <c r="AL6" s="336"/>
      <c r="AM6" s="336"/>
      <c r="AN6" s="336"/>
      <c r="AO6" s="638" t="s">
        <v>60</v>
      </c>
      <c r="AP6" s="638" t="s">
        <v>60</v>
      </c>
      <c r="AQ6" s="638" t="s">
        <v>60</v>
      </c>
      <c r="AR6" s="638" t="s">
        <v>60</v>
      </c>
      <c r="AS6" s="638"/>
      <c r="BH6" s="638"/>
      <c r="BI6" s="638"/>
      <c r="BJ6" s="638"/>
      <c r="BK6" s="638"/>
      <c r="BM6" s="638"/>
      <c r="BO6" s="638"/>
      <c r="CA6" s="83" t="s">
        <v>728</v>
      </c>
      <c r="CD6" s="509" t="s">
        <v>844</v>
      </c>
      <c r="CE6" s="509" t="s">
        <v>845</v>
      </c>
      <c r="CF6" s="509">
        <v>123456</v>
      </c>
    </row>
    <row r="7" spans="2:87" s="509" customFormat="1">
      <c r="B7" s="638">
        <f t="shared" si="1"/>
        <v>5</v>
      </c>
      <c r="C7" s="183" t="s">
        <v>56</v>
      </c>
      <c r="D7" s="184">
        <v>5</v>
      </c>
      <c r="E7" s="183" t="s">
        <v>56</v>
      </c>
      <c r="F7" s="183"/>
      <c r="G7" s="183"/>
      <c r="H7" s="183" t="s">
        <v>223</v>
      </c>
      <c r="I7" s="176" t="s">
        <v>223</v>
      </c>
      <c r="J7" s="183" t="s">
        <v>223</v>
      </c>
      <c r="K7" s="176" t="s">
        <v>355</v>
      </c>
      <c r="L7" s="183" t="s">
        <v>223</v>
      </c>
      <c r="M7" s="183" t="s">
        <v>223</v>
      </c>
      <c r="N7" s="176" t="s">
        <v>223</v>
      </c>
      <c r="O7" s="179"/>
      <c r="P7" s="182" t="s">
        <v>223</v>
      </c>
      <c r="Q7" s="182"/>
      <c r="R7" s="182" t="s">
        <v>223</v>
      </c>
      <c r="S7" s="182" t="s">
        <v>223</v>
      </c>
      <c r="T7" s="182"/>
      <c r="U7" s="182"/>
      <c r="V7" s="181" t="s">
        <v>60</v>
      </c>
      <c r="W7" s="182"/>
      <c r="X7" s="182"/>
      <c r="Y7" s="181" t="s">
        <v>223</v>
      </c>
      <c r="Z7" s="182" t="s">
        <v>223</v>
      </c>
      <c r="AA7" s="182" t="s">
        <v>223</v>
      </c>
      <c r="AB7" s="182" t="s">
        <v>223</v>
      </c>
      <c r="AC7" s="182"/>
      <c r="AD7" s="181"/>
      <c r="AE7" s="181" t="s">
        <v>223</v>
      </c>
      <c r="AF7" s="181" t="s">
        <v>223</v>
      </c>
      <c r="AG7" s="181" t="s">
        <v>223</v>
      </c>
      <c r="AH7" s="181" t="s">
        <v>353</v>
      </c>
      <c r="AI7" s="181" t="s">
        <v>354</v>
      </c>
      <c r="AJ7" s="336"/>
      <c r="AK7" s="336"/>
      <c r="AL7" s="336"/>
      <c r="AM7" s="336"/>
      <c r="AN7" s="336"/>
      <c r="AO7" s="638" t="s">
        <v>60</v>
      </c>
      <c r="AP7" s="638" t="s">
        <v>60</v>
      </c>
      <c r="AQ7" s="638" t="s">
        <v>60</v>
      </c>
      <c r="AR7" s="638" t="s">
        <v>60</v>
      </c>
      <c r="AS7" s="638"/>
      <c r="BH7" s="638"/>
      <c r="BI7" s="638"/>
      <c r="BJ7" s="638"/>
      <c r="BK7" s="638"/>
      <c r="BM7" s="638"/>
      <c r="BO7" s="638"/>
      <c r="CA7" s="83" t="s">
        <v>728</v>
      </c>
      <c r="CD7" s="509" t="s">
        <v>844</v>
      </c>
      <c r="CE7" s="509" t="s">
        <v>845</v>
      </c>
      <c r="CF7" s="509">
        <v>123456</v>
      </c>
    </row>
    <row r="8" spans="2:87">
      <c r="B8" s="199">
        <f t="shared" si="0"/>
        <v>5</v>
      </c>
      <c r="C8" s="183" t="s">
        <v>56</v>
      </c>
      <c r="D8" s="184">
        <v>5</v>
      </c>
      <c r="E8" s="183" t="s">
        <v>56</v>
      </c>
      <c r="F8" s="183"/>
      <c r="G8" s="183"/>
      <c r="H8" s="183" t="s">
        <v>223</v>
      </c>
      <c r="I8" s="176" t="s">
        <v>223</v>
      </c>
      <c r="J8" s="183" t="s">
        <v>223</v>
      </c>
      <c r="K8" s="176" t="s">
        <v>355</v>
      </c>
      <c r="L8" s="183" t="s">
        <v>223</v>
      </c>
      <c r="M8" s="183" t="s">
        <v>223</v>
      </c>
      <c r="N8" s="176" t="s">
        <v>223</v>
      </c>
      <c r="O8" s="179"/>
      <c r="P8" s="182" t="s">
        <v>223</v>
      </c>
      <c r="Q8" s="182"/>
      <c r="R8" s="182" t="s">
        <v>223</v>
      </c>
      <c r="S8" s="182" t="s">
        <v>223</v>
      </c>
      <c r="T8" s="182"/>
      <c r="U8" s="182"/>
      <c r="V8" s="181" t="s">
        <v>60</v>
      </c>
      <c r="W8" s="182"/>
      <c r="X8" s="182"/>
      <c r="Y8" s="181" t="s">
        <v>223</v>
      </c>
      <c r="Z8" s="182" t="s">
        <v>223</v>
      </c>
      <c r="AA8" s="182" t="s">
        <v>223</v>
      </c>
      <c r="AB8" s="182" t="s">
        <v>223</v>
      </c>
      <c r="AC8" s="182"/>
      <c r="AD8" s="181"/>
      <c r="AE8" s="181" t="s">
        <v>223</v>
      </c>
      <c r="AF8" s="181" t="s">
        <v>223</v>
      </c>
      <c r="AG8" s="181" t="s">
        <v>223</v>
      </c>
      <c r="AH8" s="181" t="s">
        <v>353</v>
      </c>
      <c r="AI8" s="181" t="s">
        <v>354</v>
      </c>
      <c r="AO8" s="518" t="s">
        <v>60</v>
      </c>
      <c r="AP8" s="518" t="s">
        <v>60</v>
      </c>
      <c r="AQ8" s="518" t="s">
        <v>60</v>
      </c>
      <c r="AR8" s="518" t="s">
        <v>60</v>
      </c>
      <c r="AS8" s="518"/>
      <c r="CA8" s="83" t="s">
        <v>728</v>
      </c>
      <c r="CD8" t="s">
        <v>844</v>
      </c>
      <c r="CE8" s="509" t="s">
        <v>845</v>
      </c>
      <c r="CF8" s="509">
        <v>123456</v>
      </c>
    </row>
    <row r="9" spans="2:87" s="7" customFormat="1">
      <c r="B9" s="270">
        <f t="shared" si="0"/>
        <v>0</v>
      </c>
      <c r="C9" s="185"/>
      <c r="D9" s="185"/>
      <c r="E9" s="185"/>
      <c r="F9" s="185"/>
      <c r="G9" s="185"/>
      <c r="H9" s="185"/>
      <c r="I9" s="185"/>
      <c r="J9" s="185"/>
      <c r="K9" s="185"/>
      <c r="L9" s="185"/>
      <c r="M9" s="185"/>
      <c r="N9" s="185"/>
      <c r="V9" s="270" t="s">
        <v>60</v>
      </c>
      <c r="AD9" s="271"/>
      <c r="AE9" s="271"/>
      <c r="AF9" s="271"/>
      <c r="AG9" s="271"/>
      <c r="AJ9" s="336"/>
      <c r="AK9" s="336"/>
      <c r="AL9" s="336"/>
      <c r="AM9" s="336"/>
      <c r="AN9" s="336"/>
      <c r="BH9" s="451"/>
      <c r="BI9" s="451"/>
      <c r="BJ9" s="477"/>
      <c r="BK9" s="451"/>
      <c r="BM9" s="477"/>
      <c r="BO9" s="477"/>
    </row>
    <row r="10" spans="2:87">
      <c r="C10" s="117"/>
      <c r="D10" s="117"/>
      <c r="E10" s="117"/>
      <c r="F10" s="117"/>
      <c r="G10" s="117"/>
      <c r="H10" s="117"/>
      <c r="I10" s="117"/>
      <c r="J10" s="117"/>
      <c r="K10" s="117"/>
      <c r="L10" s="117"/>
      <c r="M10" s="117"/>
      <c r="N10" s="117"/>
    </row>
    <row r="11" spans="2:87">
      <c r="C11" s="165" t="s">
        <v>524</v>
      </c>
      <c r="D11" s="117"/>
      <c r="E11" s="664" t="s">
        <v>525</v>
      </c>
      <c r="F11" s="664"/>
      <c r="G11">
        <v>2</v>
      </c>
      <c r="K11" s="117"/>
      <c r="L11" s="117"/>
      <c r="M11" s="117"/>
      <c r="N11" s="117"/>
    </row>
    <row r="12" spans="2:87">
      <c r="C12" s="117" t="s">
        <v>536</v>
      </c>
      <c r="D12" s="117"/>
      <c r="K12" s="117"/>
      <c r="L12" s="117"/>
      <c r="M12" s="117"/>
      <c r="N12" s="117"/>
    </row>
    <row r="13" spans="2:87">
      <c r="C13" s="117"/>
      <c r="D13" s="117"/>
      <c r="K13" s="117"/>
      <c r="L13" s="117"/>
      <c r="M13" s="117"/>
      <c r="N13" s="117"/>
    </row>
    <row r="14" spans="2:87">
      <c r="D14" s="117"/>
    </row>
    <row r="15" spans="2:87">
      <c r="C15" s="117"/>
      <c r="D15" s="117"/>
      <c r="E15" t="s">
        <v>223</v>
      </c>
      <c r="K15" s="117"/>
      <c r="L15" s="117"/>
      <c r="M15" s="117"/>
      <c r="N15" s="117"/>
      <c r="BO15" s="476"/>
    </row>
    <row r="16" spans="2:87">
      <c r="C16" s="117"/>
      <c r="D16" s="117"/>
      <c r="E16" t="s">
        <v>223</v>
      </c>
      <c r="K16" s="117"/>
      <c r="L16" s="117"/>
      <c r="M16" s="117"/>
      <c r="N16" s="117"/>
    </row>
    <row r="17" spans="3:48">
      <c r="C17" s="117"/>
      <c r="D17" s="117"/>
      <c r="E17" s="117"/>
      <c r="F17" s="117"/>
      <c r="G17" s="117"/>
      <c r="H17" s="117"/>
      <c r="I17" s="117"/>
      <c r="J17" s="117"/>
      <c r="K17" s="117"/>
      <c r="L17" s="117"/>
      <c r="M17" s="117"/>
      <c r="N17" s="117"/>
    </row>
    <row r="19" spans="3:48">
      <c r="C19" s="165" t="s">
        <v>124</v>
      </c>
      <c r="D19" s="117"/>
      <c r="P19" s="165" t="s">
        <v>276</v>
      </c>
      <c r="Q19" s="165" t="s">
        <v>519</v>
      </c>
    </row>
    <row r="20" spans="3:48">
      <c r="C20" s="407" t="s">
        <v>41</v>
      </c>
      <c r="D20" s="408">
        <v>2</v>
      </c>
      <c r="E20" s="407" t="s">
        <v>59</v>
      </c>
      <c r="F20" s="409" t="s">
        <v>104</v>
      </c>
      <c r="G20" s="409"/>
      <c r="H20" s="410" t="s">
        <v>922</v>
      </c>
      <c r="I20" s="411">
        <v>720</v>
      </c>
      <c r="J20" s="412" t="s">
        <v>426</v>
      </c>
      <c r="K20" s="411">
        <v>1</v>
      </c>
      <c r="L20" s="411">
        <v>2015</v>
      </c>
      <c r="M20" s="413" t="s">
        <v>448</v>
      </c>
      <c r="N20" s="411">
        <v>130</v>
      </c>
      <c r="P20" s="147">
        <v>42944</v>
      </c>
    </row>
    <row r="21" spans="3:48">
      <c r="C21" t="s">
        <v>42</v>
      </c>
      <c r="D21">
        <v>3</v>
      </c>
      <c r="E21" t="s">
        <v>58</v>
      </c>
      <c r="F21" s="509" t="s">
        <v>919</v>
      </c>
      <c r="H21" s="410" t="s">
        <v>920</v>
      </c>
      <c r="I21">
        <v>380</v>
      </c>
      <c r="J21" t="s">
        <v>217</v>
      </c>
      <c r="K21">
        <v>1</v>
      </c>
      <c r="L21">
        <v>2015</v>
      </c>
      <c r="M21" t="s">
        <v>448</v>
      </c>
      <c r="N21">
        <v>70</v>
      </c>
      <c r="P21" s="147">
        <v>43172</v>
      </c>
      <c r="AV21" s="147">
        <v>43172</v>
      </c>
    </row>
    <row r="22" spans="3:48">
      <c r="C22" t="s">
        <v>42</v>
      </c>
      <c r="D22">
        <v>3</v>
      </c>
      <c r="E22" t="s">
        <v>58</v>
      </c>
      <c r="F22" s="509" t="s">
        <v>919</v>
      </c>
      <c r="H22" s="410" t="s">
        <v>920</v>
      </c>
      <c r="I22">
        <v>390</v>
      </c>
      <c r="J22" t="s">
        <v>217</v>
      </c>
      <c r="K22">
        <v>1</v>
      </c>
      <c r="L22">
        <v>2015</v>
      </c>
      <c r="M22" t="s">
        <v>448</v>
      </c>
      <c r="N22">
        <v>70</v>
      </c>
      <c r="P22" s="147">
        <v>43172</v>
      </c>
      <c r="AV22" s="147">
        <v>43172</v>
      </c>
    </row>
    <row r="23" spans="3:48">
      <c r="C23" t="s">
        <v>42</v>
      </c>
      <c r="D23">
        <v>3</v>
      </c>
      <c r="E23" t="s">
        <v>58</v>
      </c>
      <c r="F23" s="509" t="s">
        <v>919</v>
      </c>
      <c r="H23" s="410" t="s">
        <v>920</v>
      </c>
      <c r="I23">
        <v>390</v>
      </c>
      <c r="J23" t="s">
        <v>786</v>
      </c>
      <c r="K23">
        <v>1</v>
      </c>
      <c r="L23">
        <v>2015</v>
      </c>
      <c r="M23" t="s">
        <v>448</v>
      </c>
      <c r="N23">
        <v>70</v>
      </c>
      <c r="P23" s="147">
        <v>43172</v>
      </c>
      <c r="AV23" s="147">
        <v>43172</v>
      </c>
    </row>
    <row r="24" spans="3:48">
      <c r="C24" t="s">
        <v>42</v>
      </c>
      <c r="D24">
        <v>3</v>
      </c>
      <c r="E24" t="s">
        <v>58</v>
      </c>
      <c r="F24" s="509" t="s">
        <v>919</v>
      </c>
      <c r="H24" s="410" t="s">
        <v>920</v>
      </c>
      <c r="I24">
        <v>400</v>
      </c>
      <c r="J24" t="s">
        <v>786</v>
      </c>
      <c r="K24">
        <v>1</v>
      </c>
      <c r="L24">
        <v>2015</v>
      </c>
      <c r="M24" t="s">
        <v>448</v>
      </c>
      <c r="N24">
        <v>70</v>
      </c>
      <c r="P24" s="147">
        <v>43325</v>
      </c>
      <c r="AV24" s="147">
        <v>43325</v>
      </c>
    </row>
  </sheetData>
  <mergeCells count="14">
    <mergeCell ref="BZ1:CI1"/>
    <mergeCell ref="BA1:BE1"/>
    <mergeCell ref="E11:F11"/>
    <mergeCell ref="AV1:AZ1"/>
    <mergeCell ref="AO1:AU1"/>
    <mergeCell ref="I1:M1"/>
    <mergeCell ref="K2:M2"/>
    <mergeCell ref="AA1:AB1"/>
    <mergeCell ref="Y1:Z1"/>
    <mergeCell ref="T1:X1"/>
    <mergeCell ref="AC1:AN1"/>
    <mergeCell ref="BF1:BY1"/>
    <mergeCell ref="BZ2:CC2"/>
    <mergeCell ref="CD2:CG2"/>
  </mergeCells>
  <dataValidations disablePrompts="1" count="1">
    <dataValidation type="list" allowBlank="1" showInputMessage="1" showErrorMessage="1" sqref="K4:K8">
      <formula1>indic_trim</formula1>
    </dataValidation>
  </dataValidations>
  <hyperlinks>
    <hyperlink ref="C1" location="Accueil!A1" display="Accueil"/>
    <hyperlink ref="AF4" r:id="rId1"/>
  </hyperlinks>
  <pageMargins left="0.7" right="0.7" top="0.75" bottom="0.75" header="0.3" footer="0.3"/>
  <pageSetup paperSize="9" orientation="portrait" r:id="rId2"/>
  <legacyDrawing r:id="rId3"/>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4"/>
  <dimension ref="A1:CQ19"/>
  <sheetViews>
    <sheetView workbookViewId="0">
      <pane xSplit="3" ySplit="2" topLeftCell="D3" activePane="bottomRight" state="frozen"/>
      <selection pane="topRight" activeCell="D1" sqref="D1"/>
      <selection pane="bottomLeft" activeCell="A3" sqref="A3"/>
      <selection pane="bottomRight" activeCell="E23" sqref="E23"/>
    </sheetView>
  </sheetViews>
  <sheetFormatPr baseColWidth="10" defaultRowHeight="12.75"/>
  <cols>
    <col min="1" max="1" width="2.85546875" style="65" customWidth="1"/>
    <col min="2" max="2" width="2.85546875" style="76" customWidth="1"/>
    <col min="3" max="3" width="42.7109375" style="18" customWidth="1"/>
    <col min="4" max="4" width="14.140625" customWidth="1"/>
    <col min="5" max="5" width="14.85546875" customWidth="1"/>
    <col min="6" max="6" width="20" customWidth="1"/>
    <col min="7" max="7" width="10" style="8" customWidth="1"/>
    <col min="49" max="49" width="2" customWidth="1"/>
    <col min="50" max="50" width="2.140625" customWidth="1"/>
    <col min="51" max="51" width="18.5703125" customWidth="1"/>
    <col min="52" max="52" width="14.7109375" customWidth="1"/>
    <col min="53" max="53" width="15.42578125" customWidth="1"/>
    <col min="58" max="58" width="3.5703125" style="590" customWidth="1"/>
    <col min="59" max="59" width="4.5703125" style="65" customWidth="1"/>
    <col min="60" max="62" width="3.7109375" customWidth="1"/>
    <col min="63" max="63" width="5.140625" style="590" customWidth="1"/>
    <col min="64" max="64" width="5.7109375" customWidth="1"/>
    <col min="65" max="65" width="6.140625" customWidth="1"/>
    <col min="71" max="71" width="26.28515625" customWidth="1"/>
    <col min="77" max="77" width="8.5703125" customWidth="1"/>
    <col min="78" max="78" width="10.5703125" customWidth="1"/>
    <col min="94" max="94" width="23" customWidth="1"/>
  </cols>
  <sheetData>
    <row r="1" spans="1:95">
      <c r="C1" s="105" t="s">
        <v>61</v>
      </c>
      <c r="D1" s="667" t="s">
        <v>236</v>
      </c>
      <c r="E1" s="667"/>
      <c r="G1"/>
      <c r="N1" s="643" t="s">
        <v>10</v>
      </c>
      <c r="O1" s="643"/>
      <c r="P1" s="643"/>
      <c r="Q1" s="643"/>
      <c r="R1" s="643"/>
      <c r="S1" s="682" t="s">
        <v>199</v>
      </c>
      <c r="T1" s="682"/>
      <c r="U1" s="682"/>
      <c r="V1" s="682"/>
      <c r="W1" s="639" t="s">
        <v>152</v>
      </c>
      <c r="X1" s="639"/>
      <c r="Y1" s="639"/>
      <c r="Z1" s="639"/>
      <c r="AA1" s="684" t="s">
        <v>219</v>
      </c>
      <c r="AB1" s="684"/>
      <c r="AC1" s="684"/>
      <c r="AD1" s="684"/>
      <c r="AH1" s="668" t="s">
        <v>224</v>
      </c>
      <c r="AI1" s="668"/>
      <c r="AJ1" s="681" t="s">
        <v>258</v>
      </c>
      <c r="AK1" s="681"/>
      <c r="AL1" s="681"/>
      <c r="AM1" s="639" t="s">
        <v>9</v>
      </c>
      <c r="AN1" s="683"/>
      <c r="AO1" s="680" t="s">
        <v>265</v>
      </c>
      <c r="AP1" s="680"/>
      <c r="AQ1" s="652"/>
      <c r="AR1" s="652"/>
      <c r="AS1" s="652"/>
      <c r="AT1" s="652"/>
      <c r="AU1" s="671" t="s">
        <v>506</v>
      </c>
      <c r="AV1" s="671"/>
      <c r="AW1" s="401"/>
      <c r="AX1" s="401"/>
      <c r="AY1" s="685" t="s">
        <v>502</v>
      </c>
      <c r="AZ1" s="685"/>
      <c r="BA1" s="685"/>
      <c r="BB1" s="685"/>
      <c r="BC1" s="685"/>
      <c r="BD1" s="685"/>
      <c r="BE1" s="685"/>
      <c r="BF1" s="685"/>
      <c r="BG1" s="685"/>
      <c r="BH1" s="652"/>
      <c r="BI1" s="652"/>
      <c r="BJ1" s="652"/>
      <c r="BK1" s="668" t="s">
        <v>11</v>
      </c>
      <c r="BL1" s="668"/>
      <c r="BM1" s="668"/>
      <c r="BN1" s="668"/>
      <c r="BO1" s="668"/>
      <c r="BP1" s="668"/>
      <c r="BQ1" s="668"/>
      <c r="BR1" s="668"/>
      <c r="BS1" s="680" t="s">
        <v>823</v>
      </c>
      <c r="BT1" s="680"/>
      <c r="BU1" s="652"/>
      <c r="BV1" s="652"/>
      <c r="BW1" s="652"/>
      <c r="BX1" s="652"/>
      <c r="BY1" s="643" t="s">
        <v>871</v>
      </c>
      <c r="BZ1" s="643"/>
      <c r="CA1" s="643"/>
      <c r="CB1" s="643"/>
      <c r="CC1" s="643"/>
      <c r="CD1" s="679" t="s">
        <v>877</v>
      </c>
      <c r="CE1" s="679"/>
      <c r="CF1" s="679"/>
      <c r="CG1" s="679"/>
      <c r="CH1" s="679"/>
      <c r="CI1" s="679"/>
      <c r="CJ1" s="679"/>
      <c r="CK1" s="679"/>
      <c r="CL1" s="679"/>
      <c r="CM1" s="679"/>
      <c r="CN1" s="679"/>
      <c r="CO1" s="679"/>
      <c r="CP1" s="667" t="s">
        <v>54</v>
      </c>
      <c r="CQ1" s="667"/>
    </row>
    <row r="2" spans="1:95" s="129" customFormat="1" ht="56.25" customHeight="1">
      <c r="A2" s="257" t="s">
        <v>218</v>
      </c>
      <c r="B2" s="259" t="s">
        <v>11</v>
      </c>
      <c r="C2" s="143" t="s">
        <v>73</v>
      </c>
      <c r="D2" s="266" t="s">
        <v>254</v>
      </c>
      <c r="E2" s="266" t="s">
        <v>106</v>
      </c>
      <c r="F2" s="143" t="s">
        <v>107</v>
      </c>
      <c r="G2" s="143" t="s">
        <v>121</v>
      </c>
      <c r="H2" s="143" t="s">
        <v>108</v>
      </c>
      <c r="I2" s="143" t="s">
        <v>5</v>
      </c>
      <c r="J2" s="143" t="s">
        <v>110</v>
      </c>
      <c r="K2" s="143" t="s">
        <v>109</v>
      </c>
      <c r="L2" s="143" t="s">
        <v>111</v>
      </c>
      <c r="M2" s="143" t="s">
        <v>255</v>
      </c>
      <c r="N2" s="619" t="s">
        <v>235</v>
      </c>
      <c r="O2" s="619" t="s">
        <v>16</v>
      </c>
      <c r="P2" s="619" t="s">
        <v>263</v>
      </c>
      <c r="Q2" s="619" t="s">
        <v>266</v>
      </c>
      <c r="R2" s="619" t="s">
        <v>264</v>
      </c>
      <c r="S2" s="143" t="s">
        <v>197</v>
      </c>
      <c r="T2" s="143"/>
      <c r="U2" s="143"/>
      <c r="V2" s="143"/>
      <c r="W2" s="192" t="s">
        <v>246</v>
      </c>
      <c r="X2" s="192" t="s">
        <v>249</v>
      </c>
      <c r="Y2" s="192" t="s">
        <v>247</v>
      </c>
      <c r="Z2" s="192" t="s">
        <v>248</v>
      </c>
      <c r="AA2" s="90" t="s">
        <v>250</v>
      </c>
      <c r="AB2" s="90" t="s">
        <v>251</v>
      </c>
      <c r="AC2" s="90" t="s">
        <v>252</v>
      </c>
      <c r="AD2" s="90" t="s">
        <v>253</v>
      </c>
      <c r="AE2" s="192" t="s">
        <v>220</v>
      </c>
      <c r="AF2" s="192" t="s">
        <v>194</v>
      </c>
      <c r="AG2" s="192" t="s">
        <v>178</v>
      </c>
      <c r="AH2" s="373" t="s">
        <v>221</v>
      </c>
      <c r="AI2" s="373" t="s">
        <v>222</v>
      </c>
      <c r="AJ2" s="268" t="s">
        <v>256</v>
      </c>
      <c r="AK2" s="268" t="s">
        <v>257</v>
      </c>
      <c r="AL2" s="268" t="s">
        <v>259</v>
      </c>
      <c r="AM2" s="268" t="s">
        <v>9</v>
      </c>
      <c r="AN2" s="268" t="s">
        <v>15</v>
      </c>
      <c r="AO2" s="268" t="s">
        <v>16</v>
      </c>
      <c r="AP2" s="268" t="s">
        <v>260</v>
      </c>
      <c r="AQ2" s="353" t="s">
        <v>401</v>
      </c>
      <c r="AR2" s="353" t="s">
        <v>403</v>
      </c>
      <c r="AS2" s="353" t="s">
        <v>402</v>
      </c>
      <c r="AT2" s="591" t="s">
        <v>822</v>
      </c>
      <c r="AU2" s="268" t="s">
        <v>404</v>
      </c>
      <c r="AV2" s="268" t="s">
        <v>405</v>
      </c>
      <c r="AW2" s="268" t="s">
        <v>504</v>
      </c>
      <c r="AX2" s="268" t="s">
        <v>504</v>
      </c>
      <c r="AY2" s="403" t="s">
        <v>73</v>
      </c>
      <c r="AZ2" s="403" t="s">
        <v>254</v>
      </c>
      <c r="BA2" s="403" t="s">
        <v>106</v>
      </c>
      <c r="BB2" s="403" t="s">
        <v>107</v>
      </c>
      <c r="BC2" s="403" t="s">
        <v>256</v>
      </c>
      <c r="BD2" s="403" t="s">
        <v>257</v>
      </c>
      <c r="BE2" s="403" t="s">
        <v>259</v>
      </c>
      <c r="BF2" s="259" t="s">
        <v>526</v>
      </c>
      <c r="BG2" s="259" t="s">
        <v>710</v>
      </c>
      <c r="BH2" s="472" t="s">
        <v>503</v>
      </c>
      <c r="BI2" s="472" t="s">
        <v>503</v>
      </c>
      <c r="BJ2" s="472"/>
      <c r="BK2" s="473" t="s">
        <v>634</v>
      </c>
      <c r="BL2" s="473" t="s">
        <v>635</v>
      </c>
      <c r="BM2" s="473" t="s">
        <v>711</v>
      </c>
      <c r="BS2" s="353" t="s">
        <v>827</v>
      </c>
      <c r="BT2" s="353" t="s">
        <v>826</v>
      </c>
      <c r="BY2" s="268" t="s">
        <v>872</v>
      </c>
      <c r="BZ2" s="268" t="s">
        <v>873</v>
      </c>
      <c r="CD2" s="268" t="s">
        <v>878</v>
      </c>
      <c r="CE2" s="159" t="s">
        <v>879</v>
      </c>
      <c r="CF2" s="268" t="s">
        <v>880</v>
      </c>
      <c r="CG2" s="268" t="s">
        <v>881</v>
      </c>
      <c r="CH2" s="268" t="s">
        <v>64</v>
      </c>
      <c r="CI2" s="268" t="s">
        <v>64</v>
      </c>
      <c r="CJ2" s="268" t="s">
        <v>882</v>
      </c>
      <c r="CK2" s="159" t="s">
        <v>883</v>
      </c>
      <c r="CL2" s="268" t="s">
        <v>884</v>
      </c>
      <c r="CM2" s="268" t="s">
        <v>885</v>
      </c>
      <c r="CN2" s="268" t="s">
        <v>64</v>
      </c>
      <c r="CO2" s="268" t="s">
        <v>64</v>
      </c>
      <c r="CP2" s="268" t="s">
        <v>899</v>
      </c>
    </row>
    <row r="3" spans="1:95">
      <c r="A3" s="65">
        <v>2</v>
      </c>
      <c r="B3" s="76">
        <v>1</v>
      </c>
      <c r="C3" t="s">
        <v>927</v>
      </c>
      <c r="D3" t="s">
        <v>223</v>
      </c>
      <c r="E3" t="s">
        <v>223</v>
      </c>
      <c r="F3" t="s">
        <v>223</v>
      </c>
      <c r="G3" s="8" t="s">
        <v>107</v>
      </c>
      <c r="I3" t="s">
        <v>41</v>
      </c>
      <c r="J3" s="142" t="s">
        <v>595</v>
      </c>
      <c r="K3" s="142" t="s">
        <v>886</v>
      </c>
      <c r="L3" t="s">
        <v>99</v>
      </c>
      <c r="M3" t="s">
        <v>227</v>
      </c>
      <c r="N3" t="s">
        <v>223</v>
      </c>
      <c r="O3" t="s">
        <v>223</v>
      </c>
      <c r="P3" t="s">
        <v>223</v>
      </c>
      <c r="Q3" t="s">
        <v>268</v>
      </c>
      <c r="R3" t="s">
        <v>223</v>
      </c>
      <c r="S3" t="s">
        <v>267</v>
      </c>
      <c r="T3" t="s">
        <v>267</v>
      </c>
      <c r="U3" t="s">
        <v>267</v>
      </c>
      <c r="V3" t="s">
        <v>267</v>
      </c>
      <c r="W3" t="s">
        <v>223</v>
      </c>
      <c r="X3" t="s">
        <v>223</v>
      </c>
      <c r="Y3" t="s">
        <v>223</v>
      </c>
      <c r="Z3" t="s">
        <v>223</v>
      </c>
      <c r="AA3" t="s">
        <v>223</v>
      </c>
      <c r="AB3" t="s">
        <v>223</v>
      </c>
      <c r="AC3" t="s">
        <v>223</v>
      </c>
      <c r="AD3" t="s">
        <v>223</v>
      </c>
      <c r="AE3" t="s">
        <v>223</v>
      </c>
      <c r="AF3" t="s">
        <v>223</v>
      </c>
      <c r="AG3" t="s">
        <v>223</v>
      </c>
      <c r="AH3" t="s">
        <v>223</v>
      </c>
      <c r="AI3" t="s">
        <v>223</v>
      </c>
      <c r="AJ3" t="s">
        <v>223</v>
      </c>
      <c r="AK3" t="s">
        <v>223</v>
      </c>
      <c r="AL3" t="s">
        <v>223</v>
      </c>
      <c r="AM3" t="s">
        <v>445</v>
      </c>
      <c r="AN3" t="s">
        <v>223</v>
      </c>
      <c r="AO3" t="s">
        <v>445</v>
      </c>
      <c r="AP3" t="s">
        <v>227</v>
      </c>
      <c r="AQ3" t="s">
        <v>223</v>
      </c>
      <c r="AR3" t="s">
        <v>829</v>
      </c>
      <c r="AS3" t="s">
        <v>223</v>
      </c>
      <c r="AY3" t="s">
        <v>594</v>
      </c>
      <c r="AZ3" t="s">
        <v>223</v>
      </c>
      <c r="BA3" s="509" t="s">
        <v>929</v>
      </c>
      <c r="BB3" t="s">
        <v>527</v>
      </c>
      <c r="BC3" t="s">
        <v>513</v>
      </c>
      <c r="BD3" t="s">
        <v>223</v>
      </c>
      <c r="BE3" t="s">
        <v>505</v>
      </c>
      <c r="BF3" s="590" t="s">
        <v>261</v>
      </c>
      <c r="BG3" s="65" t="s">
        <v>713</v>
      </c>
      <c r="BL3" s="471"/>
      <c r="BM3" t="s">
        <v>712</v>
      </c>
      <c r="BS3" t="s">
        <v>223</v>
      </c>
      <c r="BT3" s="116" t="s">
        <v>223</v>
      </c>
    </row>
    <row r="4" spans="1:95">
      <c r="A4" s="65">
        <v>2</v>
      </c>
      <c r="B4" s="76">
        <v>2</v>
      </c>
      <c r="C4" t="s">
        <v>597</v>
      </c>
      <c r="D4" t="s">
        <v>223</v>
      </c>
      <c r="E4" t="s">
        <v>223</v>
      </c>
      <c r="F4" t="s">
        <v>223</v>
      </c>
      <c r="G4" s="8" t="s">
        <v>107</v>
      </c>
      <c r="I4" t="s">
        <v>41</v>
      </c>
      <c r="J4" s="142" t="s">
        <v>595</v>
      </c>
      <c r="K4" s="142">
        <v>42529</v>
      </c>
      <c r="L4" t="s">
        <v>223</v>
      </c>
      <c r="M4" t="s">
        <v>227</v>
      </c>
      <c r="N4" t="s">
        <v>223</v>
      </c>
      <c r="O4" t="s">
        <v>223</v>
      </c>
      <c r="P4" t="s">
        <v>223</v>
      </c>
      <c r="Q4" t="s">
        <v>268</v>
      </c>
      <c r="R4" t="s">
        <v>223</v>
      </c>
      <c r="S4" t="s">
        <v>267</v>
      </c>
      <c r="T4" t="s">
        <v>267</v>
      </c>
      <c r="U4" t="s">
        <v>267</v>
      </c>
      <c r="V4" t="s">
        <v>267</v>
      </c>
      <c r="W4" t="s">
        <v>223</v>
      </c>
      <c r="X4" t="s">
        <v>223</v>
      </c>
      <c r="Y4" t="s">
        <v>223</v>
      </c>
      <c r="Z4" t="s">
        <v>223</v>
      </c>
      <c r="AA4" t="s">
        <v>223</v>
      </c>
      <c r="AB4" t="s">
        <v>223</v>
      </c>
      <c r="AC4" t="s">
        <v>223</v>
      </c>
      <c r="AD4" t="s">
        <v>223</v>
      </c>
      <c r="AE4" t="s">
        <v>223</v>
      </c>
      <c r="AF4" t="s">
        <v>223</v>
      </c>
      <c r="AG4" t="s">
        <v>223</v>
      </c>
      <c r="AH4" t="s">
        <v>223</v>
      </c>
      <c r="AI4" t="s">
        <v>223</v>
      </c>
      <c r="AJ4" t="s">
        <v>223</v>
      </c>
      <c r="AK4" t="s">
        <v>223</v>
      </c>
      <c r="AL4" t="s">
        <v>223</v>
      </c>
      <c r="AM4" t="s">
        <v>515</v>
      </c>
      <c r="AN4" t="s">
        <v>223</v>
      </c>
      <c r="AO4" t="s">
        <v>515</v>
      </c>
      <c r="AP4" t="s">
        <v>227</v>
      </c>
      <c r="AQ4" t="s">
        <v>223</v>
      </c>
      <c r="AR4" t="s">
        <v>223</v>
      </c>
      <c r="AS4" t="s">
        <v>223</v>
      </c>
      <c r="AY4" t="s">
        <v>596</v>
      </c>
      <c r="AZ4" t="s">
        <v>223</v>
      </c>
      <c r="BA4" t="s">
        <v>25</v>
      </c>
      <c r="BB4" t="s">
        <v>25</v>
      </c>
      <c r="BC4" t="s">
        <v>25</v>
      </c>
      <c r="BD4" t="s">
        <v>223</v>
      </c>
      <c r="BF4" s="590" t="s">
        <v>261</v>
      </c>
      <c r="BL4" s="471"/>
    </row>
    <row r="5" spans="1:95">
      <c r="A5" s="65">
        <v>1</v>
      </c>
      <c r="B5" s="76">
        <v>3</v>
      </c>
      <c r="C5" s="189" t="s">
        <v>931</v>
      </c>
      <c r="D5" s="509" t="s">
        <v>508</v>
      </c>
      <c r="E5" s="509" t="s">
        <v>508</v>
      </c>
      <c r="F5" s="509" t="s">
        <v>696</v>
      </c>
      <c r="G5" s="8" t="s">
        <v>107</v>
      </c>
      <c r="I5" t="s">
        <v>638</v>
      </c>
      <c r="J5" s="142" t="s">
        <v>705</v>
      </c>
      <c r="K5" s="142">
        <v>42673</v>
      </c>
      <c r="L5" t="s">
        <v>199</v>
      </c>
      <c r="M5" t="s">
        <v>227</v>
      </c>
      <c r="N5" t="s">
        <v>223</v>
      </c>
      <c r="O5" t="s">
        <v>223</v>
      </c>
      <c r="P5" t="s">
        <v>223</v>
      </c>
      <c r="Q5" t="s">
        <v>268</v>
      </c>
      <c r="R5" t="s">
        <v>223</v>
      </c>
      <c r="S5" t="s">
        <v>267</v>
      </c>
      <c r="T5" t="s">
        <v>267</v>
      </c>
      <c r="U5" t="s">
        <v>267</v>
      </c>
      <c r="V5" t="s">
        <v>267</v>
      </c>
      <c r="W5" t="s">
        <v>223</v>
      </c>
      <c r="X5" t="s">
        <v>223</v>
      </c>
      <c r="Y5" t="s">
        <v>223</v>
      </c>
      <c r="Z5" t="s">
        <v>223</v>
      </c>
      <c r="AA5" t="s">
        <v>223</v>
      </c>
      <c r="AB5" t="s">
        <v>223</v>
      </c>
      <c r="AC5" t="s">
        <v>223</v>
      </c>
      <c r="AD5" t="s">
        <v>223</v>
      </c>
      <c r="AE5" t="s">
        <v>223</v>
      </c>
      <c r="AF5" t="s">
        <v>223</v>
      </c>
      <c r="AG5" t="s">
        <v>223</v>
      </c>
      <c r="AH5" t="s">
        <v>223</v>
      </c>
      <c r="AI5" t="s">
        <v>223</v>
      </c>
      <c r="AJ5" t="s">
        <v>223</v>
      </c>
      <c r="AK5" t="s">
        <v>223</v>
      </c>
      <c r="AL5" t="s">
        <v>223</v>
      </c>
      <c r="AM5" s="509" t="s">
        <v>344</v>
      </c>
      <c r="AN5" s="509" t="s">
        <v>326</v>
      </c>
      <c r="AO5" t="s">
        <v>223</v>
      </c>
      <c r="AP5" t="s">
        <v>227</v>
      </c>
      <c r="AQ5" t="s">
        <v>223</v>
      </c>
      <c r="AR5" t="s">
        <v>223</v>
      </c>
      <c r="AS5" t="s">
        <v>223</v>
      </c>
      <c r="AZ5" t="s">
        <v>223</v>
      </c>
      <c r="BA5" t="s">
        <v>25</v>
      </c>
      <c r="BB5" t="s">
        <v>25</v>
      </c>
      <c r="BC5" t="s">
        <v>25</v>
      </c>
      <c r="BD5" t="s">
        <v>223</v>
      </c>
      <c r="BL5" s="471"/>
    </row>
    <row r="6" spans="1:95">
      <c r="A6" s="65">
        <v>1</v>
      </c>
      <c r="B6" s="76">
        <v>4</v>
      </c>
      <c r="C6" s="189" t="s">
        <v>932</v>
      </c>
      <c r="D6" t="s">
        <v>223</v>
      </c>
      <c r="E6" s="509" t="s">
        <v>508</v>
      </c>
      <c r="F6" s="509" t="s">
        <v>696</v>
      </c>
      <c r="G6" s="144" t="s">
        <v>107</v>
      </c>
      <c r="H6" t="s">
        <v>366</v>
      </c>
      <c r="I6" t="s">
        <v>638</v>
      </c>
      <c r="J6" s="142" t="s">
        <v>432</v>
      </c>
      <c r="K6" s="142" t="s">
        <v>814</v>
      </c>
      <c r="L6" t="s">
        <v>199</v>
      </c>
      <c r="M6" t="s">
        <v>227</v>
      </c>
      <c r="N6" t="s">
        <v>216</v>
      </c>
      <c r="O6" t="s">
        <v>341</v>
      </c>
      <c r="P6" t="s">
        <v>262</v>
      </c>
      <c r="Q6" t="s">
        <v>268</v>
      </c>
      <c r="R6" t="s">
        <v>491</v>
      </c>
      <c r="S6" t="s">
        <v>267</v>
      </c>
      <c r="T6" t="s">
        <v>267</v>
      </c>
      <c r="U6" t="s">
        <v>267</v>
      </c>
      <c r="V6" t="s">
        <v>267</v>
      </c>
      <c r="W6" t="s">
        <v>816</v>
      </c>
      <c r="X6" t="s">
        <v>817</v>
      </c>
      <c r="Y6" t="s">
        <v>818</v>
      </c>
      <c r="Z6" t="s">
        <v>819</v>
      </c>
      <c r="AA6" t="s">
        <v>820</v>
      </c>
      <c r="AB6" t="s">
        <v>367</v>
      </c>
      <c r="AC6" t="s">
        <v>821</v>
      </c>
      <c r="AD6" t="s">
        <v>367</v>
      </c>
      <c r="AE6" t="s">
        <v>223</v>
      </c>
      <c r="AF6" t="s">
        <v>223</v>
      </c>
      <c r="AG6" t="s">
        <v>223</v>
      </c>
      <c r="AH6" t="s">
        <v>809</v>
      </c>
      <c r="AI6" t="s">
        <v>810</v>
      </c>
      <c r="AJ6" s="115" t="s">
        <v>368</v>
      </c>
      <c r="AK6" t="s">
        <v>369</v>
      </c>
      <c r="AL6" t="s">
        <v>370</v>
      </c>
      <c r="AM6" t="s">
        <v>344</v>
      </c>
      <c r="AN6" t="s">
        <v>326</v>
      </c>
      <c r="AO6" t="s">
        <v>344</v>
      </c>
      <c r="AP6" t="s">
        <v>227</v>
      </c>
      <c r="AQ6" t="s">
        <v>866</v>
      </c>
      <c r="AR6" t="s">
        <v>829</v>
      </c>
      <c r="AS6" t="s">
        <v>869</v>
      </c>
      <c r="AT6" t="s">
        <v>406</v>
      </c>
      <c r="AU6" t="s">
        <v>407</v>
      </c>
      <c r="AV6" t="s">
        <v>408</v>
      </c>
      <c r="BL6" s="471"/>
      <c r="BM6" t="s">
        <v>713</v>
      </c>
      <c r="BS6" t="s">
        <v>867</v>
      </c>
      <c r="BT6" t="s">
        <v>868</v>
      </c>
    </row>
    <row r="7" spans="1:95">
      <c r="A7" s="65">
        <v>3</v>
      </c>
      <c r="B7" s="76">
        <v>5</v>
      </c>
      <c r="C7" s="189" t="s">
        <v>933</v>
      </c>
      <c r="D7" t="s">
        <v>223</v>
      </c>
      <c r="E7" s="509" t="s">
        <v>508</v>
      </c>
      <c r="F7" s="509" t="s">
        <v>696</v>
      </c>
      <c r="G7" s="144" t="s">
        <v>107</v>
      </c>
      <c r="I7" t="s">
        <v>42</v>
      </c>
      <c r="J7" s="142" t="s">
        <v>385</v>
      </c>
      <c r="K7" s="142">
        <v>42904</v>
      </c>
      <c r="L7" t="s">
        <v>223</v>
      </c>
      <c r="M7" t="s">
        <v>227</v>
      </c>
      <c r="N7" t="s">
        <v>714</v>
      </c>
      <c r="O7" t="s">
        <v>223</v>
      </c>
      <c r="P7" t="s">
        <v>223</v>
      </c>
      <c r="Q7" t="s">
        <v>268</v>
      </c>
      <c r="R7" t="s">
        <v>223</v>
      </c>
      <c r="S7" t="s">
        <v>267</v>
      </c>
      <c r="T7" t="s">
        <v>267</v>
      </c>
      <c r="U7" t="s">
        <v>267</v>
      </c>
      <c r="V7" t="s">
        <v>267</v>
      </c>
      <c r="W7" t="s">
        <v>223</v>
      </c>
      <c r="X7" t="s">
        <v>223</v>
      </c>
      <c r="Y7" t="s">
        <v>528</v>
      </c>
      <c r="Z7" t="s">
        <v>223</v>
      </c>
      <c r="AA7" t="s">
        <v>223</v>
      </c>
      <c r="AB7" t="s">
        <v>223</v>
      </c>
      <c r="AC7" t="s">
        <v>424</v>
      </c>
      <c r="AD7" t="s">
        <v>495</v>
      </c>
      <c r="AE7" t="s">
        <v>223</v>
      </c>
      <c r="AF7" t="s">
        <v>223</v>
      </c>
      <c r="AG7" t="s">
        <v>223</v>
      </c>
      <c r="AH7" t="s">
        <v>223</v>
      </c>
      <c r="AI7" t="s">
        <v>223</v>
      </c>
      <c r="AJ7" s="115" t="s">
        <v>496</v>
      </c>
      <c r="AK7" t="s">
        <v>497</v>
      </c>
      <c r="AL7" t="s">
        <v>498</v>
      </c>
      <c r="AM7" t="s">
        <v>383</v>
      </c>
      <c r="AN7" t="s">
        <v>384</v>
      </c>
      <c r="AO7" t="s">
        <v>383</v>
      </c>
      <c r="AP7" t="s">
        <v>227</v>
      </c>
      <c r="AQ7" t="s">
        <v>501</v>
      </c>
      <c r="AR7" t="s">
        <v>223</v>
      </c>
      <c r="AS7" t="s">
        <v>223</v>
      </c>
      <c r="AZ7" t="s">
        <v>223</v>
      </c>
      <c r="BA7" t="s">
        <v>25</v>
      </c>
      <c r="BB7" t="s">
        <v>25</v>
      </c>
      <c r="BC7" t="s">
        <v>25</v>
      </c>
      <c r="BD7" t="s">
        <v>223</v>
      </c>
      <c r="BG7" s="65" t="s">
        <v>713</v>
      </c>
      <c r="BL7" s="471"/>
      <c r="BM7" t="s">
        <v>717</v>
      </c>
    </row>
    <row r="8" spans="1:95">
      <c r="A8" s="65">
        <v>2</v>
      </c>
      <c r="B8" s="76">
        <v>7</v>
      </c>
      <c r="C8" s="189" t="s">
        <v>934</v>
      </c>
      <c r="D8" t="s">
        <v>452</v>
      </c>
      <c r="E8" s="509" t="s">
        <v>508</v>
      </c>
      <c r="F8" s="509" t="s">
        <v>696</v>
      </c>
      <c r="G8" s="144" t="s">
        <v>107</v>
      </c>
      <c r="H8" t="s">
        <v>453</v>
      </c>
      <c r="I8" t="s">
        <v>41</v>
      </c>
      <c r="J8" s="142" t="s">
        <v>426</v>
      </c>
      <c r="K8" s="142">
        <v>42934</v>
      </c>
      <c r="L8" t="s">
        <v>99</v>
      </c>
      <c r="M8" t="s">
        <v>227</v>
      </c>
      <c r="N8" t="s">
        <v>223</v>
      </c>
      <c r="O8" t="s">
        <v>223</v>
      </c>
      <c r="P8" t="s">
        <v>223</v>
      </c>
      <c r="Q8" t="s">
        <v>268</v>
      </c>
      <c r="R8" t="s">
        <v>223</v>
      </c>
      <c r="S8" t="s">
        <v>267</v>
      </c>
      <c r="T8" t="s">
        <v>267</v>
      </c>
      <c r="U8" t="s">
        <v>267</v>
      </c>
      <c r="V8" t="s">
        <v>267</v>
      </c>
      <c r="W8" t="s">
        <v>461</v>
      </c>
      <c r="X8" t="s">
        <v>223</v>
      </c>
      <c r="Y8" t="s">
        <v>433</v>
      </c>
      <c r="Z8" t="s">
        <v>223</v>
      </c>
      <c r="AA8" t="s">
        <v>462</v>
      </c>
      <c r="AB8" t="s">
        <v>463</v>
      </c>
      <c r="AC8" t="s">
        <v>434</v>
      </c>
      <c r="AD8" t="s">
        <v>463</v>
      </c>
      <c r="AE8" t="s">
        <v>223</v>
      </c>
      <c r="AF8" t="s">
        <v>223</v>
      </c>
      <c r="AG8" t="s">
        <v>223</v>
      </c>
      <c r="AH8" t="s">
        <v>460</v>
      </c>
      <c r="AI8" t="s">
        <v>456</v>
      </c>
      <c r="AJ8" t="s">
        <v>223</v>
      </c>
      <c r="AK8" t="s">
        <v>223</v>
      </c>
      <c r="AL8" t="s">
        <v>223</v>
      </c>
      <c r="AM8" t="s">
        <v>445</v>
      </c>
      <c r="AN8" t="s">
        <v>446</v>
      </c>
      <c r="AO8" t="s">
        <v>445</v>
      </c>
      <c r="AP8" t="s">
        <v>227</v>
      </c>
      <c r="AQ8" t="s">
        <v>223</v>
      </c>
      <c r="AR8" t="s">
        <v>223</v>
      </c>
      <c r="AS8" t="s">
        <v>223</v>
      </c>
      <c r="AY8" t="s">
        <v>928</v>
      </c>
      <c r="AZ8" t="s">
        <v>223</v>
      </c>
      <c r="BA8" t="s">
        <v>25</v>
      </c>
      <c r="BB8" t="s">
        <v>25</v>
      </c>
      <c r="BC8" t="s">
        <v>25</v>
      </c>
      <c r="BD8" t="s">
        <v>223</v>
      </c>
      <c r="BF8" s="590" t="s">
        <v>261</v>
      </c>
      <c r="BL8" s="471"/>
    </row>
    <row r="9" spans="1:95">
      <c r="A9" s="65">
        <v>3</v>
      </c>
      <c r="B9" s="76">
        <v>7</v>
      </c>
      <c r="C9" s="189" t="s">
        <v>935</v>
      </c>
      <c r="D9" s="265" t="s">
        <v>223</v>
      </c>
      <c r="E9" s="509" t="s">
        <v>508</v>
      </c>
      <c r="F9" s="509" t="s">
        <v>696</v>
      </c>
      <c r="G9" s="265" t="s">
        <v>107</v>
      </c>
      <c r="H9" s="265" t="s">
        <v>229</v>
      </c>
      <c r="I9" s="265" t="s">
        <v>42</v>
      </c>
      <c r="J9" s="142" t="s">
        <v>522</v>
      </c>
      <c r="K9" s="142" t="s">
        <v>814</v>
      </c>
      <c r="L9" s="265" t="s">
        <v>99</v>
      </c>
      <c r="M9" s="265" t="s">
        <v>227</v>
      </c>
      <c r="N9" s="265" t="s">
        <v>230</v>
      </c>
      <c r="O9" s="272" t="s">
        <v>223</v>
      </c>
      <c r="P9" s="272" t="s">
        <v>223</v>
      </c>
      <c r="Q9" s="272" t="s">
        <v>268</v>
      </c>
      <c r="R9" s="272" t="s">
        <v>223</v>
      </c>
      <c r="S9" s="265" t="s">
        <v>267</v>
      </c>
      <c r="T9" s="272" t="s">
        <v>267</v>
      </c>
      <c r="U9" s="272" t="s">
        <v>267</v>
      </c>
      <c r="V9" s="272" t="s">
        <v>267</v>
      </c>
      <c r="W9" t="s">
        <v>528</v>
      </c>
      <c r="X9" t="s">
        <v>223</v>
      </c>
      <c r="Y9" t="s">
        <v>870</v>
      </c>
      <c r="Z9" t="s">
        <v>223</v>
      </c>
      <c r="AA9" t="s">
        <v>665</v>
      </c>
      <c r="AB9" s="267" t="s">
        <v>666</v>
      </c>
      <c r="AC9" s="267" t="s">
        <v>824</v>
      </c>
      <c r="AD9" s="267" t="s">
        <v>825</v>
      </c>
      <c r="AE9" s="265" t="s">
        <v>223</v>
      </c>
      <c r="AF9" s="265" t="s">
        <v>223</v>
      </c>
      <c r="AG9" s="265" t="s">
        <v>223</v>
      </c>
      <c r="AH9" t="s">
        <v>659</v>
      </c>
      <c r="AI9" t="s">
        <v>660</v>
      </c>
      <c r="AJ9" s="267" t="s">
        <v>223</v>
      </c>
      <c r="AK9" s="267" t="s">
        <v>223</v>
      </c>
      <c r="AL9" s="267" t="s">
        <v>223</v>
      </c>
      <c r="AM9" t="s">
        <v>521</v>
      </c>
      <c r="AN9" t="s">
        <v>384</v>
      </c>
      <c r="AO9" t="s">
        <v>521</v>
      </c>
      <c r="AP9" t="s">
        <v>227</v>
      </c>
      <c r="AQ9" t="s">
        <v>339</v>
      </c>
      <c r="AR9" t="s">
        <v>227</v>
      </c>
      <c r="AS9" t="s">
        <v>828</v>
      </c>
      <c r="BL9" s="471"/>
      <c r="BM9" t="s">
        <v>713</v>
      </c>
      <c r="BS9" t="s">
        <v>830</v>
      </c>
      <c r="BT9" t="s">
        <v>521</v>
      </c>
    </row>
    <row r="10" spans="1:95">
      <c r="A10" s="65">
        <v>2</v>
      </c>
      <c r="B10" s="76">
        <v>8</v>
      </c>
      <c r="C10" s="189" t="s">
        <v>936</v>
      </c>
      <c r="D10" t="s">
        <v>508</v>
      </c>
      <c r="E10" s="509" t="s">
        <v>508</v>
      </c>
      <c r="F10" s="509" t="s">
        <v>696</v>
      </c>
      <c r="G10" s="290" t="s">
        <v>107</v>
      </c>
      <c r="I10" t="s">
        <v>41</v>
      </c>
      <c r="J10" s="142" t="s">
        <v>516</v>
      </c>
      <c r="K10" s="142">
        <v>73050</v>
      </c>
      <c r="L10" t="s">
        <v>223</v>
      </c>
      <c r="M10" t="s">
        <v>227</v>
      </c>
      <c r="N10" t="s">
        <v>223</v>
      </c>
      <c r="O10" t="s">
        <v>223</v>
      </c>
      <c r="P10" t="s">
        <v>223</v>
      </c>
      <c r="Q10" t="s">
        <v>268</v>
      </c>
      <c r="R10" t="s">
        <v>223</v>
      </c>
      <c r="S10" t="s">
        <v>267</v>
      </c>
      <c r="T10" t="s">
        <v>267</v>
      </c>
      <c r="U10" t="s">
        <v>267</v>
      </c>
      <c r="V10" t="s">
        <v>267</v>
      </c>
      <c r="W10" t="s">
        <v>530</v>
      </c>
      <c r="X10" t="s">
        <v>223</v>
      </c>
      <c r="Y10" t="s">
        <v>223</v>
      </c>
      <c r="Z10" t="s">
        <v>223</v>
      </c>
      <c r="AA10" t="s">
        <v>531</v>
      </c>
      <c r="AB10" t="s">
        <v>463</v>
      </c>
      <c r="AC10" t="s">
        <v>223</v>
      </c>
      <c r="AD10" t="s">
        <v>223</v>
      </c>
      <c r="AE10" t="s">
        <v>223</v>
      </c>
      <c r="AF10" t="s">
        <v>223</v>
      </c>
      <c r="AG10" t="s">
        <v>223</v>
      </c>
      <c r="AH10" t="s">
        <v>532</v>
      </c>
      <c r="AI10" t="s">
        <v>529</v>
      </c>
      <c r="AJ10" t="s">
        <v>509</v>
      </c>
      <c r="AK10" t="s">
        <v>223</v>
      </c>
      <c r="AL10" t="s">
        <v>510</v>
      </c>
      <c r="AM10" t="s">
        <v>515</v>
      </c>
      <c r="AN10" t="s">
        <v>446</v>
      </c>
      <c r="AO10" t="s">
        <v>515</v>
      </c>
      <c r="AP10" t="s">
        <v>227</v>
      </c>
      <c r="AQ10" t="s">
        <v>223</v>
      </c>
      <c r="AR10" t="s">
        <v>223</v>
      </c>
      <c r="AS10" t="s">
        <v>223</v>
      </c>
      <c r="AY10" t="s">
        <v>930</v>
      </c>
      <c r="AZ10" t="s">
        <v>223</v>
      </c>
      <c r="BA10" t="s">
        <v>929</v>
      </c>
      <c r="BB10" t="s">
        <v>514</v>
      </c>
      <c r="BC10" t="s">
        <v>513</v>
      </c>
      <c r="BD10" t="s">
        <v>223</v>
      </c>
      <c r="BF10" s="590" t="s">
        <v>261</v>
      </c>
      <c r="BG10" s="65" t="s">
        <v>713</v>
      </c>
      <c r="BK10" s="590" t="s">
        <v>261</v>
      </c>
      <c r="BL10" s="471"/>
      <c r="BM10" t="s">
        <v>713</v>
      </c>
    </row>
    <row r="11" spans="1:95">
      <c r="A11" s="65">
        <v>3</v>
      </c>
      <c r="B11" s="76">
        <v>9</v>
      </c>
      <c r="C11" s="189" t="s">
        <v>695</v>
      </c>
      <c r="D11" t="s">
        <v>508</v>
      </c>
      <c r="E11" t="s">
        <v>508</v>
      </c>
      <c r="F11" t="s">
        <v>696</v>
      </c>
      <c r="G11" s="8" t="s">
        <v>107</v>
      </c>
      <c r="I11" t="s">
        <v>42</v>
      </c>
      <c r="J11" s="142" t="s">
        <v>697</v>
      </c>
      <c r="K11" s="142">
        <v>42135</v>
      </c>
      <c r="L11" t="s">
        <v>223</v>
      </c>
      <c r="M11" t="s">
        <v>227</v>
      </c>
      <c r="N11" t="s">
        <v>223</v>
      </c>
      <c r="O11" t="s">
        <v>223</v>
      </c>
      <c r="P11" t="s">
        <v>223</v>
      </c>
      <c r="Q11" t="s">
        <v>268</v>
      </c>
      <c r="R11" t="s">
        <v>223</v>
      </c>
      <c r="S11" t="s">
        <v>267</v>
      </c>
      <c r="T11" t="s">
        <v>267</v>
      </c>
      <c r="U11" t="s">
        <v>267</v>
      </c>
      <c r="V11" t="s">
        <v>267</v>
      </c>
      <c r="W11" t="s">
        <v>223</v>
      </c>
      <c r="X11" t="s">
        <v>223</v>
      </c>
      <c r="Y11" t="s">
        <v>223</v>
      </c>
      <c r="Z11" t="s">
        <v>223</v>
      </c>
      <c r="AA11" t="s">
        <v>223</v>
      </c>
      <c r="AB11" t="s">
        <v>223</v>
      </c>
      <c r="AC11" t="s">
        <v>223</v>
      </c>
      <c r="AD11" t="s">
        <v>223</v>
      </c>
      <c r="AE11" t="s">
        <v>223</v>
      </c>
      <c r="AF11" t="s">
        <v>223</v>
      </c>
      <c r="AG11" t="s">
        <v>223</v>
      </c>
      <c r="AH11" t="s">
        <v>223</v>
      </c>
      <c r="AI11" t="s">
        <v>223</v>
      </c>
      <c r="AJ11" t="s">
        <v>223</v>
      </c>
      <c r="AK11" t="s">
        <v>223</v>
      </c>
      <c r="AL11" t="s">
        <v>223</v>
      </c>
      <c r="AM11" t="s">
        <v>223</v>
      </c>
      <c r="AN11" t="s">
        <v>223</v>
      </c>
      <c r="AO11" t="s">
        <v>223</v>
      </c>
      <c r="AP11" t="s">
        <v>227</v>
      </c>
      <c r="AQ11" t="s">
        <v>223</v>
      </c>
      <c r="AR11" t="s">
        <v>223</v>
      </c>
      <c r="AS11" t="s">
        <v>223</v>
      </c>
      <c r="AZ11" t="s">
        <v>223</v>
      </c>
      <c r="BA11" s="509" t="s">
        <v>929</v>
      </c>
      <c r="BB11" t="s">
        <v>514</v>
      </c>
      <c r="BC11" t="s">
        <v>513</v>
      </c>
      <c r="BD11" t="s">
        <v>223</v>
      </c>
      <c r="BL11" s="471"/>
    </row>
    <row r="12" spans="1:95">
      <c r="A12" s="65">
        <v>3</v>
      </c>
      <c r="B12" s="76">
        <v>10</v>
      </c>
      <c r="C12" s="189" t="s">
        <v>937</v>
      </c>
      <c r="D12" t="s">
        <v>508</v>
      </c>
      <c r="E12" t="s">
        <v>508</v>
      </c>
      <c r="F12" t="s">
        <v>696</v>
      </c>
      <c r="G12" s="8" t="s">
        <v>107</v>
      </c>
      <c r="I12" t="s">
        <v>42</v>
      </c>
      <c r="J12" s="142" t="s">
        <v>698</v>
      </c>
      <c r="K12" s="142">
        <v>42439</v>
      </c>
      <c r="L12" t="s">
        <v>223</v>
      </c>
      <c r="M12" t="s">
        <v>227</v>
      </c>
      <c r="N12" t="s">
        <v>223</v>
      </c>
      <c r="O12" t="s">
        <v>223</v>
      </c>
      <c r="P12" t="s">
        <v>223</v>
      </c>
      <c r="Q12" t="s">
        <v>268</v>
      </c>
      <c r="R12" t="s">
        <v>223</v>
      </c>
      <c r="S12" t="s">
        <v>267</v>
      </c>
      <c r="T12" t="s">
        <v>267</v>
      </c>
      <c r="U12" t="s">
        <v>267</v>
      </c>
      <c r="V12" t="s">
        <v>267</v>
      </c>
      <c r="W12" t="s">
        <v>223</v>
      </c>
      <c r="X12" t="s">
        <v>223</v>
      </c>
      <c r="Y12" t="s">
        <v>223</v>
      </c>
      <c r="Z12" t="s">
        <v>223</v>
      </c>
      <c r="AA12" t="s">
        <v>223</v>
      </c>
      <c r="AB12" t="s">
        <v>223</v>
      </c>
      <c r="AC12" t="s">
        <v>223</v>
      </c>
      <c r="AD12" t="s">
        <v>223</v>
      </c>
      <c r="AE12" t="s">
        <v>223</v>
      </c>
      <c r="AF12" t="s">
        <v>223</v>
      </c>
      <c r="AG12" t="s">
        <v>223</v>
      </c>
      <c r="AH12" t="s">
        <v>223</v>
      </c>
      <c r="AI12" t="s">
        <v>223</v>
      </c>
      <c r="AJ12" t="s">
        <v>223</v>
      </c>
      <c r="AK12" t="s">
        <v>223</v>
      </c>
      <c r="AL12" t="s">
        <v>223</v>
      </c>
      <c r="AM12" t="s">
        <v>223</v>
      </c>
      <c r="AN12" t="s">
        <v>223</v>
      </c>
      <c r="AO12" t="s">
        <v>223</v>
      </c>
      <c r="AP12" t="s">
        <v>227</v>
      </c>
      <c r="AQ12" t="s">
        <v>223</v>
      </c>
      <c r="AS12" t="s">
        <v>223</v>
      </c>
      <c r="AZ12" t="s">
        <v>223</v>
      </c>
      <c r="BA12" s="509" t="s">
        <v>929</v>
      </c>
      <c r="BB12" t="s">
        <v>527</v>
      </c>
      <c r="BC12" t="s">
        <v>513</v>
      </c>
      <c r="BD12" t="s">
        <v>223</v>
      </c>
      <c r="BL12" s="471"/>
    </row>
    <row r="13" spans="1:95">
      <c r="A13" s="65">
        <v>1</v>
      </c>
      <c r="B13" s="76">
        <v>13</v>
      </c>
      <c r="C13" s="189" t="s">
        <v>938</v>
      </c>
      <c r="D13" t="s">
        <v>508</v>
      </c>
      <c r="E13" t="s">
        <v>508</v>
      </c>
      <c r="F13" t="s">
        <v>696</v>
      </c>
      <c r="G13" s="8" t="s">
        <v>107</v>
      </c>
      <c r="I13" t="s">
        <v>638</v>
      </c>
      <c r="J13" s="142" t="s">
        <v>700</v>
      </c>
      <c r="K13" s="142">
        <v>40368</v>
      </c>
      <c r="L13" t="s">
        <v>223</v>
      </c>
      <c r="M13" t="s">
        <v>227</v>
      </c>
      <c r="N13" t="s">
        <v>223</v>
      </c>
      <c r="O13" t="s">
        <v>223</v>
      </c>
      <c r="P13" t="s">
        <v>223</v>
      </c>
      <c r="Q13" t="s">
        <v>268</v>
      </c>
      <c r="R13" t="s">
        <v>223</v>
      </c>
      <c r="S13" t="s">
        <v>267</v>
      </c>
      <c r="T13" t="s">
        <v>267</v>
      </c>
      <c r="U13" t="s">
        <v>267</v>
      </c>
      <c r="V13" t="s">
        <v>267</v>
      </c>
      <c r="W13" t="s">
        <v>223</v>
      </c>
      <c r="X13" t="s">
        <v>223</v>
      </c>
      <c r="Y13" t="s">
        <v>223</v>
      </c>
      <c r="Z13" t="s">
        <v>223</v>
      </c>
      <c r="AA13" t="s">
        <v>223</v>
      </c>
      <c r="AB13" t="s">
        <v>223</v>
      </c>
      <c r="AC13" t="s">
        <v>223</v>
      </c>
      <c r="AD13" t="s">
        <v>223</v>
      </c>
      <c r="AE13" t="s">
        <v>223</v>
      </c>
      <c r="AF13" t="s">
        <v>223</v>
      </c>
      <c r="AG13" t="s">
        <v>223</v>
      </c>
      <c r="AH13" t="s">
        <v>223</v>
      </c>
      <c r="AI13" t="s">
        <v>223</v>
      </c>
      <c r="AJ13" t="s">
        <v>223</v>
      </c>
      <c r="AK13" t="s">
        <v>223</v>
      </c>
      <c r="AL13" t="s">
        <v>223</v>
      </c>
      <c r="AM13" t="s">
        <v>223</v>
      </c>
      <c r="AN13" t="s">
        <v>223</v>
      </c>
      <c r="AO13" t="s">
        <v>223</v>
      </c>
      <c r="AP13" t="s">
        <v>227</v>
      </c>
      <c r="AQ13" t="s">
        <v>223</v>
      </c>
      <c r="AR13" t="s">
        <v>223</v>
      </c>
      <c r="AS13" t="s">
        <v>223</v>
      </c>
      <c r="AZ13" t="s">
        <v>223</v>
      </c>
      <c r="BA13" s="509" t="s">
        <v>929</v>
      </c>
      <c r="BB13" t="s">
        <v>527</v>
      </c>
      <c r="BC13" t="s">
        <v>513</v>
      </c>
      <c r="BD13" t="s">
        <v>223</v>
      </c>
      <c r="BL13" s="471"/>
    </row>
    <row r="14" spans="1:95">
      <c r="A14" s="65">
        <v>1</v>
      </c>
      <c r="B14" s="76">
        <v>14</v>
      </c>
      <c r="C14" s="189" t="s">
        <v>939</v>
      </c>
      <c r="D14" t="s">
        <v>508</v>
      </c>
      <c r="E14" t="s">
        <v>508</v>
      </c>
      <c r="F14" t="s">
        <v>696</v>
      </c>
      <c r="G14" s="8" t="s">
        <v>107</v>
      </c>
      <c r="I14" t="s">
        <v>638</v>
      </c>
      <c r="J14" s="142" t="s">
        <v>702</v>
      </c>
      <c r="K14" s="142">
        <v>40941</v>
      </c>
      <c r="L14" t="s">
        <v>223</v>
      </c>
      <c r="M14" t="s">
        <v>227</v>
      </c>
      <c r="N14" t="s">
        <v>223</v>
      </c>
      <c r="O14" t="s">
        <v>223</v>
      </c>
      <c r="P14" t="s">
        <v>223</v>
      </c>
      <c r="Q14" t="s">
        <v>268</v>
      </c>
      <c r="R14" t="s">
        <v>223</v>
      </c>
      <c r="S14" t="s">
        <v>267</v>
      </c>
      <c r="T14" t="s">
        <v>267</v>
      </c>
      <c r="U14" t="s">
        <v>267</v>
      </c>
      <c r="V14" t="s">
        <v>267</v>
      </c>
      <c r="W14" t="s">
        <v>223</v>
      </c>
      <c r="X14" t="s">
        <v>223</v>
      </c>
      <c r="Y14" t="s">
        <v>223</v>
      </c>
      <c r="Z14" t="s">
        <v>223</v>
      </c>
      <c r="AA14" t="s">
        <v>223</v>
      </c>
      <c r="AB14" t="s">
        <v>223</v>
      </c>
      <c r="AC14" t="s">
        <v>223</v>
      </c>
      <c r="AD14" t="s">
        <v>223</v>
      </c>
      <c r="AE14" t="s">
        <v>223</v>
      </c>
      <c r="AF14" t="s">
        <v>223</v>
      </c>
      <c r="AG14" t="s">
        <v>223</v>
      </c>
      <c r="AH14" t="s">
        <v>223</v>
      </c>
      <c r="AI14" t="s">
        <v>223</v>
      </c>
      <c r="AJ14" t="s">
        <v>223</v>
      </c>
      <c r="AK14" t="s">
        <v>223</v>
      </c>
      <c r="AL14" t="s">
        <v>223</v>
      </c>
      <c r="AM14" t="s">
        <v>223</v>
      </c>
      <c r="AN14" t="s">
        <v>223</v>
      </c>
      <c r="AO14" t="s">
        <v>223</v>
      </c>
      <c r="AP14" t="s">
        <v>227</v>
      </c>
      <c r="AQ14" t="s">
        <v>223</v>
      </c>
      <c r="AR14" t="s">
        <v>223</v>
      </c>
      <c r="AS14" t="s">
        <v>223</v>
      </c>
      <c r="AZ14" t="s">
        <v>223</v>
      </c>
      <c r="BA14" s="509" t="s">
        <v>929</v>
      </c>
      <c r="BB14" t="s">
        <v>527</v>
      </c>
      <c r="BC14" t="s">
        <v>513</v>
      </c>
      <c r="BD14" t="s">
        <v>223</v>
      </c>
      <c r="BL14" s="471"/>
    </row>
    <row r="15" spans="1:95">
      <c r="A15" s="65">
        <v>1</v>
      </c>
      <c r="B15" s="76">
        <v>15</v>
      </c>
      <c r="C15" s="189" t="s">
        <v>940</v>
      </c>
      <c r="D15" t="s">
        <v>508</v>
      </c>
      <c r="E15" t="s">
        <v>508</v>
      </c>
      <c r="F15" t="s">
        <v>696</v>
      </c>
      <c r="G15" s="8" t="s">
        <v>107</v>
      </c>
      <c r="I15" t="s">
        <v>638</v>
      </c>
      <c r="J15" s="142" t="s">
        <v>704</v>
      </c>
      <c r="K15" s="142">
        <v>41424</v>
      </c>
      <c r="L15" t="s">
        <v>223</v>
      </c>
      <c r="M15" t="s">
        <v>227</v>
      </c>
      <c r="N15" t="s">
        <v>223</v>
      </c>
      <c r="O15" t="s">
        <v>223</v>
      </c>
      <c r="P15" t="s">
        <v>223</v>
      </c>
      <c r="Q15" t="s">
        <v>268</v>
      </c>
      <c r="R15" t="s">
        <v>223</v>
      </c>
      <c r="S15" t="s">
        <v>267</v>
      </c>
      <c r="T15" t="s">
        <v>267</v>
      </c>
      <c r="U15" t="s">
        <v>267</v>
      </c>
      <c r="V15" t="s">
        <v>267</v>
      </c>
      <c r="W15" t="s">
        <v>223</v>
      </c>
      <c r="X15" t="s">
        <v>223</v>
      </c>
      <c r="Y15" t="s">
        <v>223</v>
      </c>
      <c r="Z15" t="s">
        <v>223</v>
      </c>
      <c r="AA15" t="s">
        <v>223</v>
      </c>
      <c r="AB15" t="s">
        <v>223</v>
      </c>
      <c r="AC15" t="s">
        <v>223</v>
      </c>
      <c r="AD15" t="s">
        <v>223</v>
      </c>
      <c r="AE15" t="s">
        <v>223</v>
      </c>
      <c r="AF15" t="s">
        <v>223</v>
      </c>
      <c r="AG15" t="s">
        <v>223</v>
      </c>
      <c r="AH15" t="s">
        <v>223</v>
      </c>
      <c r="AI15" t="s">
        <v>223</v>
      </c>
      <c r="AJ15" t="s">
        <v>223</v>
      </c>
      <c r="AK15" t="s">
        <v>223</v>
      </c>
      <c r="AL15" t="s">
        <v>223</v>
      </c>
      <c r="AM15" t="s">
        <v>223</v>
      </c>
      <c r="AN15" t="s">
        <v>223</v>
      </c>
      <c r="AO15" t="s">
        <v>223</v>
      </c>
      <c r="AP15" t="s">
        <v>227</v>
      </c>
      <c r="AQ15" t="s">
        <v>223</v>
      </c>
      <c r="AR15" t="s">
        <v>223</v>
      </c>
      <c r="AS15" t="s">
        <v>223</v>
      </c>
      <c r="AZ15" t="s">
        <v>223</v>
      </c>
      <c r="BA15" s="509" t="s">
        <v>929</v>
      </c>
      <c r="BB15" t="s">
        <v>527</v>
      </c>
      <c r="BC15" t="s">
        <v>513</v>
      </c>
      <c r="BD15" t="s">
        <v>223</v>
      </c>
      <c r="BL15" s="471"/>
    </row>
    <row r="16" spans="1:95">
      <c r="A16">
        <v>1</v>
      </c>
      <c r="B16" t="s">
        <v>910</v>
      </c>
      <c r="C16" t="s">
        <v>941</v>
      </c>
      <c r="D16" t="s">
        <v>508</v>
      </c>
      <c r="E16" t="s">
        <v>508</v>
      </c>
      <c r="F16" t="s">
        <v>696</v>
      </c>
      <c r="G16" s="592" t="s">
        <v>107</v>
      </c>
      <c r="I16" t="s">
        <v>638</v>
      </c>
      <c r="J16" s="142" t="s">
        <v>707</v>
      </c>
      <c r="K16" s="142">
        <v>41517</v>
      </c>
      <c r="L16" t="s">
        <v>223</v>
      </c>
      <c r="M16" t="s">
        <v>227</v>
      </c>
      <c r="N16" t="s">
        <v>223</v>
      </c>
      <c r="O16" t="s">
        <v>223</v>
      </c>
      <c r="P16" t="s">
        <v>223</v>
      </c>
      <c r="Q16" t="s">
        <v>268</v>
      </c>
      <c r="R16" t="s">
        <v>223</v>
      </c>
      <c r="S16" t="s">
        <v>267</v>
      </c>
      <c r="T16" t="s">
        <v>267</v>
      </c>
      <c r="U16" t="s">
        <v>267</v>
      </c>
      <c r="V16" t="s">
        <v>267</v>
      </c>
      <c r="W16" t="s">
        <v>223</v>
      </c>
      <c r="X16" t="s">
        <v>223</v>
      </c>
      <c r="Y16" t="s">
        <v>223</v>
      </c>
      <c r="Z16" t="s">
        <v>223</v>
      </c>
      <c r="AA16" t="s">
        <v>223</v>
      </c>
      <c r="AB16" t="s">
        <v>223</v>
      </c>
      <c r="AC16" t="s">
        <v>223</v>
      </c>
      <c r="AD16" t="s">
        <v>223</v>
      </c>
      <c r="AE16" t="s">
        <v>223</v>
      </c>
      <c r="AF16" t="s">
        <v>223</v>
      </c>
      <c r="AG16" t="s">
        <v>223</v>
      </c>
      <c r="AH16" t="s">
        <v>223</v>
      </c>
      <c r="AI16" t="s">
        <v>223</v>
      </c>
      <c r="AJ16" t="s">
        <v>223</v>
      </c>
      <c r="AK16" t="s">
        <v>223</v>
      </c>
      <c r="AL16" t="s">
        <v>223</v>
      </c>
      <c r="AM16" t="s">
        <v>339</v>
      </c>
      <c r="AN16" t="s">
        <v>223</v>
      </c>
      <c r="AO16" t="s">
        <v>223</v>
      </c>
      <c r="AP16" t="s">
        <v>227</v>
      </c>
      <c r="AQ16" t="s">
        <v>223</v>
      </c>
      <c r="AR16" t="s">
        <v>223</v>
      </c>
      <c r="AS16" t="s">
        <v>223</v>
      </c>
      <c r="AZ16" t="s">
        <v>223</v>
      </c>
      <c r="BA16" s="509" t="s">
        <v>929</v>
      </c>
      <c r="BB16" t="s">
        <v>527</v>
      </c>
      <c r="BC16" t="s">
        <v>513</v>
      </c>
      <c r="BD16" t="s">
        <v>223</v>
      </c>
    </row>
    <row r="17" spans="1:94">
      <c r="A17">
        <v>1</v>
      </c>
      <c r="B17" t="s">
        <v>911</v>
      </c>
      <c r="C17" t="s">
        <v>708</v>
      </c>
      <c r="D17" t="s">
        <v>508</v>
      </c>
      <c r="E17" t="s">
        <v>508</v>
      </c>
      <c r="F17" t="s">
        <v>696</v>
      </c>
      <c r="G17" s="592" t="s">
        <v>107</v>
      </c>
      <c r="I17" t="s">
        <v>638</v>
      </c>
      <c r="J17" s="142" t="s">
        <v>709</v>
      </c>
      <c r="K17" s="142">
        <v>41802</v>
      </c>
      <c r="L17" t="s">
        <v>223</v>
      </c>
      <c r="M17" t="s">
        <v>227</v>
      </c>
      <c r="N17" t="s">
        <v>223</v>
      </c>
      <c r="O17" t="s">
        <v>223</v>
      </c>
      <c r="P17" t="s">
        <v>223</v>
      </c>
      <c r="Q17" t="s">
        <v>268</v>
      </c>
      <c r="R17" t="s">
        <v>223</v>
      </c>
      <c r="S17" t="s">
        <v>267</v>
      </c>
      <c r="T17" t="s">
        <v>267</v>
      </c>
      <c r="U17" t="s">
        <v>267</v>
      </c>
      <c r="V17" t="s">
        <v>267</v>
      </c>
      <c r="W17" t="s">
        <v>223</v>
      </c>
      <c r="X17" t="s">
        <v>223</v>
      </c>
      <c r="Y17" t="s">
        <v>223</v>
      </c>
      <c r="Z17" t="s">
        <v>223</v>
      </c>
      <c r="AA17" t="s">
        <v>223</v>
      </c>
      <c r="AB17" t="s">
        <v>223</v>
      </c>
      <c r="AC17" t="s">
        <v>223</v>
      </c>
      <c r="AD17" t="s">
        <v>223</v>
      </c>
      <c r="AE17" t="s">
        <v>223</v>
      </c>
      <c r="AF17" t="s">
        <v>223</v>
      </c>
      <c r="AG17" t="s">
        <v>223</v>
      </c>
      <c r="AH17" t="s">
        <v>223</v>
      </c>
      <c r="AI17" t="s">
        <v>223</v>
      </c>
      <c r="AJ17" t="s">
        <v>223</v>
      </c>
      <c r="AK17" t="s">
        <v>223</v>
      </c>
      <c r="AL17" t="s">
        <v>223</v>
      </c>
      <c r="AM17" t="s">
        <v>223</v>
      </c>
      <c r="AN17" t="s">
        <v>223</v>
      </c>
      <c r="AO17" t="s">
        <v>223</v>
      </c>
      <c r="AP17" t="s">
        <v>227</v>
      </c>
      <c r="AQ17" t="s">
        <v>223</v>
      </c>
      <c r="AR17" t="s">
        <v>223</v>
      </c>
      <c r="AS17" t="s">
        <v>223</v>
      </c>
      <c r="AZ17" t="s">
        <v>223</v>
      </c>
      <c r="BA17" s="509" t="s">
        <v>929</v>
      </c>
      <c r="BB17" t="s">
        <v>527</v>
      </c>
      <c r="BC17" t="s">
        <v>513</v>
      </c>
      <c r="BD17" t="s">
        <v>223</v>
      </c>
    </row>
    <row r="18" spans="1:94">
      <c r="A18">
        <v>1</v>
      </c>
      <c r="B18">
        <v>16</v>
      </c>
      <c r="C18" t="s">
        <v>942</v>
      </c>
      <c r="D18" t="s">
        <v>900</v>
      </c>
      <c r="E18" s="509" t="s">
        <v>508</v>
      </c>
      <c r="F18" s="509" t="s">
        <v>696</v>
      </c>
      <c r="G18" s="592" t="s">
        <v>107</v>
      </c>
      <c r="I18" t="s">
        <v>638</v>
      </c>
      <c r="J18" s="142" t="s">
        <v>806</v>
      </c>
      <c r="K18" s="142">
        <v>73050</v>
      </c>
      <c r="L18" t="s">
        <v>199</v>
      </c>
      <c r="M18" t="s">
        <v>227</v>
      </c>
      <c r="N18" t="s">
        <v>223</v>
      </c>
      <c r="O18" t="s">
        <v>223</v>
      </c>
      <c r="P18" t="s">
        <v>223</v>
      </c>
      <c r="Q18" t="s">
        <v>268</v>
      </c>
      <c r="R18" t="s">
        <v>895</v>
      </c>
      <c r="S18" t="s">
        <v>267</v>
      </c>
      <c r="T18" t="s">
        <v>267</v>
      </c>
      <c r="U18" t="s">
        <v>267</v>
      </c>
      <c r="V18" t="s">
        <v>267</v>
      </c>
      <c r="W18" t="s">
        <v>818</v>
      </c>
      <c r="X18" t="s">
        <v>819</v>
      </c>
      <c r="Y18" t="s">
        <v>223</v>
      </c>
      <c r="Z18" t="s">
        <v>223</v>
      </c>
      <c r="AA18" t="s">
        <v>821</v>
      </c>
      <c r="AB18" t="s">
        <v>223</v>
      </c>
      <c r="AC18" t="s">
        <v>223</v>
      </c>
      <c r="AD18" t="s">
        <v>223</v>
      </c>
      <c r="AE18" t="s">
        <v>223</v>
      </c>
      <c r="AF18" t="s">
        <v>223</v>
      </c>
      <c r="AG18" t="s">
        <v>223</v>
      </c>
      <c r="AH18" t="s">
        <v>223</v>
      </c>
      <c r="AI18" t="s">
        <v>223</v>
      </c>
      <c r="AJ18" t="s">
        <v>807</v>
      </c>
      <c r="AK18" t="s">
        <v>808</v>
      </c>
      <c r="AL18" t="s">
        <v>498</v>
      </c>
      <c r="AM18" t="s">
        <v>344</v>
      </c>
      <c r="AN18" t="s">
        <v>326</v>
      </c>
      <c r="AO18" t="s">
        <v>223</v>
      </c>
      <c r="AP18" t="s">
        <v>227</v>
      </c>
      <c r="AQ18" t="s">
        <v>223</v>
      </c>
      <c r="AR18" t="s">
        <v>829</v>
      </c>
      <c r="AS18" t="s">
        <v>223</v>
      </c>
      <c r="BM18" t="s">
        <v>712</v>
      </c>
      <c r="BS18" t="s">
        <v>223</v>
      </c>
      <c r="BT18" t="s">
        <v>223</v>
      </c>
      <c r="CD18" t="s">
        <v>223</v>
      </c>
      <c r="CF18" t="s">
        <v>223</v>
      </c>
      <c r="CG18" t="s">
        <v>890</v>
      </c>
      <c r="CJ18" t="s">
        <v>223</v>
      </c>
      <c r="CL18" t="s">
        <v>223</v>
      </c>
      <c r="CM18" t="s">
        <v>223</v>
      </c>
      <c r="CP18" t="s">
        <v>223</v>
      </c>
    </row>
    <row r="19" spans="1:94">
      <c r="A19">
        <v>3</v>
      </c>
      <c r="B19">
        <v>17</v>
      </c>
      <c r="C19" t="s">
        <v>943</v>
      </c>
      <c r="D19" t="s">
        <v>508</v>
      </c>
      <c r="E19" s="509" t="s">
        <v>508</v>
      </c>
      <c r="F19" s="509" t="s">
        <v>696</v>
      </c>
      <c r="G19" t="s">
        <v>107</v>
      </c>
      <c r="I19" t="s">
        <v>42</v>
      </c>
      <c r="J19" s="142" t="s">
        <v>874</v>
      </c>
      <c r="K19" t="s">
        <v>223</v>
      </c>
      <c r="L19" t="s">
        <v>99</v>
      </c>
      <c r="M19" t="s">
        <v>227</v>
      </c>
      <c r="N19" t="s">
        <v>223</v>
      </c>
      <c r="O19" t="s">
        <v>223</v>
      </c>
      <c r="P19" t="s">
        <v>223</v>
      </c>
      <c r="Q19" t="s">
        <v>268</v>
      </c>
      <c r="R19" t="s">
        <v>223</v>
      </c>
      <c r="S19" t="s">
        <v>267</v>
      </c>
      <c r="T19" t="s">
        <v>267</v>
      </c>
      <c r="U19" t="s">
        <v>267</v>
      </c>
      <c r="V19" t="s">
        <v>267</v>
      </c>
      <c r="W19" t="s">
        <v>223</v>
      </c>
      <c r="X19" t="s">
        <v>223</v>
      </c>
      <c r="Y19" t="s">
        <v>223</v>
      </c>
      <c r="Z19" t="s">
        <v>223</v>
      </c>
      <c r="AA19" t="s">
        <v>223</v>
      </c>
      <c r="AB19" t="s">
        <v>223</v>
      </c>
      <c r="AC19" t="s">
        <v>223</v>
      </c>
      <c r="AD19" t="s">
        <v>223</v>
      </c>
      <c r="AE19" t="s">
        <v>223</v>
      </c>
      <c r="AF19" t="s">
        <v>223</v>
      </c>
      <c r="AG19" t="s">
        <v>223</v>
      </c>
      <c r="AH19" t="s">
        <v>223</v>
      </c>
      <c r="AI19" t="s">
        <v>223</v>
      </c>
      <c r="AJ19" t="s">
        <v>875</v>
      </c>
      <c r="AK19" t="s">
        <v>497</v>
      </c>
      <c r="AL19" t="s">
        <v>498</v>
      </c>
      <c r="AM19" t="s">
        <v>327</v>
      </c>
      <c r="AN19" t="s">
        <v>384</v>
      </c>
      <c r="AO19" t="s">
        <v>223</v>
      </c>
      <c r="AP19" t="s">
        <v>227</v>
      </c>
      <c r="AQ19" t="s">
        <v>223</v>
      </c>
      <c r="AR19" t="s">
        <v>829</v>
      </c>
      <c r="AS19" t="s">
        <v>223</v>
      </c>
      <c r="BM19" t="s">
        <v>717</v>
      </c>
      <c r="BS19" t="s">
        <v>223</v>
      </c>
      <c r="BT19" t="s">
        <v>223</v>
      </c>
      <c r="CD19" t="s">
        <v>887</v>
      </c>
      <c r="CF19" s="147" t="s">
        <v>889</v>
      </c>
      <c r="CG19" t="s">
        <v>890</v>
      </c>
      <c r="CJ19" s="509" t="s">
        <v>888</v>
      </c>
      <c r="CK19" s="509"/>
      <c r="CL19" s="147" t="s">
        <v>891</v>
      </c>
      <c r="CM19" s="509" t="s">
        <v>892</v>
      </c>
    </row>
  </sheetData>
  <sortState ref="B3:B10">
    <sortCondition ref="B3:B10"/>
  </sortState>
  <mergeCells count="16">
    <mergeCell ref="CP1:CQ1"/>
    <mergeCell ref="CD1:CO1"/>
    <mergeCell ref="BY1:CC1"/>
    <mergeCell ref="BS1:BX1"/>
    <mergeCell ref="D1:E1"/>
    <mergeCell ref="AH1:AI1"/>
    <mergeCell ref="AJ1:AL1"/>
    <mergeCell ref="N1:R1"/>
    <mergeCell ref="S1:V1"/>
    <mergeCell ref="BK1:BR1"/>
    <mergeCell ref="AU1:AV1"/>
    <mergeCell ref="AM1:AN1"/>
    <mergeCell ref="W1:Z1"/>
    <mergeCell ref="AA1:AD1"/>
    <mergeCell ref="AY1:BJ1"/>
    <mergeCell ref="AO1:AT1"/>
  </mergeCells>
  <dataValidations count="1">
    <dataValidation type="list" allowBlank="1" showInputMessage="1" showErrorMessage="1" sqref="I5:I8">
      <formula1>Liste_appart</formula1>
    </dataValidation>
  </dataValidations>
  <hyperlinks>
    <hyperlink ref="C1" location="Accueil!A1" display="Accueil"/>
  </hyperlinks>
  <pageMargins left="0.7" right="0.7" top="0.75" bottom="0.75" header="0.3" footer="0.3"/>
  <pageSetup paperSize="9" orientation="landscape" horizontalDpi="4294967295" verticalDpi="4294967295" r:id="rId1"/>
  <legacy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AE37"/>
  <sheetViews>
    <sheetView topLeftCell="A7" workbookViewId="0">
      <selection activeCell="R35" sqref="R35"/>
    </sheetView>
  </sheetViews>
  <sheetFormatPr baseColWidth="10" defaultRowHeight="12.75"/>
  <cols>
    <col min="1" max="1" width="9.85546875" customWidth="1"/>
    <col min="2" max="2" width="4.85546875" customWidth="1"/>
    <col min="3" max="3" width="4" customWidth="1"/>
    <col min="4" max="4" width="4.28515625" customWidth="1"/>
    <col min="5" max="5" width="4.140625" customWidth="1"/>
    <col min="6" max="6" width="6" customWidth="1"/>
    <col min="7" max="7" width="1.28515625" customWidth="1"/>
    <col min="8" max="8" width="5.28515625" customWidth="1"/>
    <col min="9" max="9" width="4" customWidth="1"/>
    <col min="10" max="10" width="5.28515625" customWidth="1"/>
    <col min="11" max="11" width="4.28515625" customWidth="1"/>
    <col min="12" max="12" width="5.28515625" customWidth="1"/>
    <col min="13" max="13" width="1.140625" customWidth="1"/>
    <col min="14" max="14" width="5.28515625" customWidth="1"/>
    <col min="15" max="15" width="4" customWidth="1"/>
    <col min="16" max="16" width="4.28515625" customWidth="1"/>
    <col min="17" max="18" width="5.28515625" customWidth="1"/>
    <col min="19" max="19" width="1.42578125" customWidth="1"/>
    <col min="20" max="20" width="5.28515625" customWidth="1"/>
    <col min="21" max="21" width="4" customWidth="1"/>
    <col min="22" max="22" width="4.28515625" customWidth="1"/>
    <col min="23" max="24" width="5.28515625" customWidth="1"/>
    <col min="25" max="25" width="1.140625" customWidth="1"/>
    <col min="26" max="26" width="5.28515625" customWidth="1"/>
    <col min="27" max="27" width="4" customWidth="1"/>
    <col min="28" max="28" width="4.28515625" customWidth="1"/>
    <col min="29" max="30" width="5.28515625" customWidth="1"/>
  </cols>
  <sheetData>
    <row r="1" spans="1:30" s="8" customFormat="1" ht="27.75" customHeight="1">
      <c r="B1" s="700" t="s">
        <v>662</v>
      </c>
      <c r="C1" s="701"/>
      <c r="D1" s="702"/>
      <c r="E1" s="702"/>
      <c r="F1" s="702"/>
      <c r="G1" s="702"/>
      <c r="H1" s="702"/>
      <c r="I1" s="702"/>
      <c r="J1" s="702"/>
      <c r="K1" s="702"/>
      <c r="L1" s="702"/>
      <c r="M1" s="702"/>
      <c r="N1" s="702"/>
      <c r="O1" s="702"/>
      <c r="P1" s="702"/>
      <c r="Q1" s="702"/>
      <c r="R1" s="702"/>
      <c r="S1" s="703"/>
    </row>
    <row r="2" spans="1:30" s="8" customFormat="1" ht="27.75" customHeight="1">
      <c r="B2" s="277"/>
      <c r="C2" s="277"/>
      <c r="D2" s="242"/>
      <c r="E2" s="242"/>
      <c r="F2" s="242"/>
      <c r="G2" s="242"/>
      <c r="H2" s="242"/>
      <c r="I2" s="242"/>
      <c r="J2" s="242"/>
      <c r="K2" s="242"/>
    </row>
    <row r="3" spans="1:30" ht="15" customHeight="1">
      <c r="A3" s="724" t="s">
        <v>399</v>
      </c>
      <c r="B3" s="725"/>
    </row>
    <row r="4" spans="1:30" ht="15">
      <c r="A4" s="274" t="s">
        <v>73</v>
      </c>
      <c r="B4" s="718" t="str">
        <f>prop_nom</f>
        <v>Mr dubosq</v>
      </c>
      <c r="C4" s="718"/>
      <c r="D4" s="699"/>
      <c r="E4" s="699"/>
      <c r="F4" s="699"/>
      <c r="G4" s="699"/>
      <c r="H4" s="699"/>
      <c r="I4" s="699"/>
      <c r="J4" s="699"/>
      <c r="K4" s="699"/>
      <c r="L4" s="699"/>
      <c r="M4" s="244"/>
      <c r="N4" s="244"/>
      <c r="O4" s="244"/>
      <c r="P4" s="244"/>
      <c r="Q4" s="244"/>
      <c r="R4" s="244"/>
      <c r="S4" s="244"/>
      <c r="T4" s="244"/>
      <c r="U4" s="244"/>
      <c r="V4" s="244"/>
      <c r="W4" s="244"/>
      <c r="X4" s="244"/>
      <c r="Y4" s="244"/>
      <c r="Z4" s="244"/>
      <c r="AA4" s="244"/>
      <c r="AB4" s="244"/>
      <c r="AC4" s="244"/>
      <c r="AD4" s="245"/>
    </row>
    <row r="5" spans="1:30">
      <c r="A5" s="275"/>
      <c r="B5" s="30"/>
      <c r="C5" s="30"/>
      <c r="D5" s="30"/>
      <c r="E5" s="30"/>
      <c r="F5" s="30"/>
      <c r="G5" s="30"/>
      <c r="H5" s="30"/>
      <c r="I5" s="30"/>
      <c r="J5" s="30"/>
      <c r="K5" s="30"/>
      <c r="L5" s="30"/>
      <c r="M5" s="30"/>
      <c r="N5" s="30"/>
      <c r="O5" s="30"/>
      <c r="P5" s="30"/>
      <c r="Q5" s="30"/>
      <c r="R5" s="30"/>
      <c r="S5" s="30"/>
      <c r="T5" s="30"/>
      <c r="U5" s="30"/>
      <c r="V5" s="30"/>
      <c r="W5" s="30"/>
      <c r="X5" s="30"/>
      <c r="Y5" s="30"/>
      <c r="Z5" s="30"/>
      <c r="AA5" s="30"/>
      <c r="AB5" s="30"/>
      <c r="AC5" s="30"/>
      <c r="AD5" s="246"/>
    </row>
    <row r="6" spans="1:30">
      <c r="A6" s="275" t="s">
        <v>34</v>
      </c>
      <c r="B6" s="689" t="str">
        <f>prop_adr</f>
        <v>6 rue des aules</v>
      </c>
      <c r="C6" s="690"/>
      <c r="D6" s="690"/>
      <c r="E6" s="690"/>
      <c r="F6" s="690"/>
      <c r="G6" s="690"/>
      <c r="H6" s="690"/>
      <c r="I6" s="690"/>
      <c r="J6" s="690"/>
      <c r="K6" s="690" t="str">
        <f>prop_adr1</f>
        <v/>
      </c>
      <c r="L6" s="690"/>
      <c r="M6" s="690"/>
      <c r="N6" s="690"/>
      <c r="O6" s="690"/>
      <c r="P6" s="690"/>
      <c r="Q6" s="690"/>
      <c r="R6" s="45" t="s">
        <v>398</v>
      </c>
      <c r="S6" s="343"/>
      <c r="T6" s="343">
        <f>prop_cp</f>
        <v>75960</v>
      </c>
      <c r="U6" s="30"/>
      <c r="V6" s="30" t="s">
        <v>400</v>
      </c>
      <c r="W6" s="690" t="str">
        <f>prop_ville</f>
        <v>tataouine</v>
      </c>
      <c r="X6" s="690"/>
      <c r="Y6" s="690"/>
      <c r="Z6" s="690"/>
      <c r="AA6" s="690"/>
      <c r="AB6" s="690"/>
      <c r="AC6" s="690"/>
      <c r="AD6" s="653"/>
    </row>
    <row r="7" spans="1:30">
      <c r="A7" s="287" t="s">
        <v>105</v>
      </c>
      <c r="B7" s="30"/>
      <c r="C7" s="273" t="s">
        <v>244</v>
      </c>
      <c r="D7" s="689" t="str">
        <f>prop_tel</f>
        <v>01 02 03 04 05</v>
      </c>
      <c r="E7" s="690"/>
      <c r="F7" s="690"/>
      <c r="G7" s="690"/>
      <c r="H7" s="30"/>
      <c r="I7" s="694" t="s">
        <v>245</v>
      </c>
      <c r="J7" s="690"/>
      <c r="K7" s="690" t="str">
        <f>prop_portable</f>
        <v>06 07 06 07 06</v>
      </c>
      <c r="L7" s="690"/>
      <c r="M7" s="690"/>
      <c r="N7" s="690"/>
      <c r="O7" s="30"/>
      <c r="P7" s="30"/>
      <c r="Q7" s="30"/>
      <c r="R7" s="30"/>
      <c r="S7" s="30"/>
      <c r="T7" s="30"/>
      <c r="U7" s="30"/>
      <c r="V7" s="30"/>
      <c r="W7" s="30"/>
      <c r="X7" s="30"/>
      <c r="Y7" s="30"/>
      <c r="Z7" s="30"/>
      <c r="AA7" s="30"/>
      <c r="AB7" s="30"/>
      <c r="AC7" s="30"/>
      <c r="AD7" s="246"/>
    </row>
    <row r="8" spans="1:30">
      <c r="A8" s="276" t="s">
        <v>107</v>
      </c>
      <c r="B8" s="695" t="str">
        <f>prop_mail</f>
        <v>demo38@gmail.com</v>
      </c>
      <c r="C8" s="696"/>
      <c r="D8" s="696"/>
      <c r="E8" s="696"/>
      <c r="F8" s="696"/>
      <c r="G8" s="696"/>
      <c r="H8" s="696"/>
      <c r="I8" s="696"/>
      <c r="J8" s="696"/>
      <c r="K8" s="696"/>
      <c r="L8" s="696"/>
      <c r="M8" s="247"/>
      <c r="N8" s="247"/>
      <c r="O8" s="247"/>
      <c r="P8" s="247"/>
      <c r="Q8" s="247"/>
      <c r="R8" s="247"/>
      <c r="S8" s="247"/>
      <c r="T8" s="247"/>
      <c r="U8" s="247"/>
      <c r="V8" s="247"/>
      <c r="W8" s="247"/>
      <c r="X8" s="247"/>
      <c r="Y8" s="247"/>
      <c r="Z8" s="247"/>
      <c r="AA8" s="247"/>
      <c r="AB8" s="247"/>
      <c r="AC8" s="247"/>
      <c r="AD8" s="248"/>
    </row>
    <row r="9" spans="1:30">
      <c r="A9" s="30" t="s">
        <v>25</v>
      </c>
      <c r="B9" s="30"/>
      <c r="C9" s="30"/>
      <c r="D9" s="30"/>
      <c r="E9" s="30"/>
      <c r="F9" s="30"/>
      <c r="G9" s="30"/>
      <c r="H9" s="30"/>
      <c r="I9" s="30"/>
      <c r="J9" s="30"/>
      <c r="L9" s="18"/>
    </row>
    <row r="10" spans="1:30">
      <c r="A10" s="282" t="s">
        <v>397</v>
      </c>
      <c r="B10" s="30"/>
      <c r="C10" s="30"/>
      <c r="D10" s="30"/>
      <c r="E10" s="30"/>
      <c r="F10" s="30"/>
      <c r="G10" s="30"/>
      <c r="H10" s="30"/>
      <c r="I10" s="30"/>
      <c r="J10" s="30"/>
      <c r="L10" s="18"/>
      <c r="P10" s="509"/>
      <c r="Q10" s="247"/>
      <c r="R10" s="247"/>
      <c r="S10" s="247"/>
      <c r="T10" s="247"/>
      <c r="U10" s="247"/>
      <c r="V10" s="247"/>
    </row>
    <row r="11" spans="1:30" ht="39">
      <c r="A11" s="350"/>
      <c r="B11" s="244"/>
      <c r="C11" s="244"/>
      <c r="D11" s="244"/>
      <c r="E11" s="565" t="s">
        <v>9</v>
      </c>
      <c r="F11" s="565" t="s">
        <v>65</v>
      </c>
      <c r="G11" s="244"/>
      <c r="H11" s="244"/>
      <c r="I11" s="697" t="s">
        <v>661</v>
      </c>
      <c r="J11" s="698"/>
      <c r="K11" s="698"/>
      <c r="L11" s="698"/>
      <c r="M11" s="699"/>
      <c r="N11" s="699"/>
      <c r="O11" s="244"/>
      <c r="P11" s="244"/>
      <c r="Q11" s="721" t="s">
        <v>489</v>
      </c>
      <c r="R11" s="722"/>
      <c r="S11" s="722"/>
      <c r="T11" s="722"/>
      <c r="U11" s="722"/>
      <c r="V11" s="723"/>
      <c r="W11" s="541"/>
      <c r="X11" s="244"/>
      <c r="Y11" s="244"/>
      <c r="Z11" s="244"/>
      <c r="AA11" s="244"/>
      <c r="AB11" s="244"/>
      <c r="AC11" s="244"/>
      <c r="AD11" s="245"/>
    </row>
    <row r="12" spans="1:30">
      <c r="A12" s="708" t="str">
        <f>IF(appt_1&lt;&gt;"En attente",appt_1,"")</f>
        <v>Le_carrare</v>
      </c>
      <c r="B12" s="709"/>
      <c r="C12" s="709"/>
      <c r="D12" s="30"/>
      <c r="E12" s="333" t="str">
        <f>appt_loy_1</f>
        <v>290</v>
      </c>
      <c r="F12" s="333" t="str">
        <f>appt_charg_1</f>
        <v>50</v>
      </c>
      <c r="G12" s="30"/>
      <c r="H12" s="30"/>
      <c r="I12" s="690" t="s">
        <v>112</v>
      </c>
      <c r="J12" s="690"/>
      <c r="K12" s="690"/>
      <c r="L12" s="690"/>
      <c r="M12" s="652"/>
      <c r="N12" s="652"/>
      <c r="O12" s="30"/>
      <c r="P12" s="30"/>
      <c r="Q12" s="391" t="s">
        <v>804</v>
      </c>
      <c r="R12" s="30"/>
      <c r="S12" s="30"/>
      <c r="U12" s="30"/>
      <c r="V12" s="30"/>
      <c r="W12" s="30"/>
      <c r="X12" s="30"/>
      <c r="Y12" s="30"/>
      <c r="Z12" s="30"/>
      <c r="AA12" s="30"/>
      <c r="AB12" s="30"/>
      <c r="AC12" s="30"/>
      <c r="AD12" s="246"/>
    </row>
    <row r="13" spans="1:30" ht="12.75" customHeight="1">
      <c r="A13" s="710" t="str">
        <f>IF(appt_2&lt;&gt;"En attente",appt_2,"")</f>
        <v/>
      </c>
      <c r="B13" s="711"/>
      <c r="C13" s="711"/>
      <c r="D13" s="30"/>
      <c r="E13" s="333" t="str">
        <f>appt_loy_2</f>
        <v/>
      </c>
      <c r="F13" s="333" t="str">
        <f>appt_charg_2</f>
        <v/>
      </c>
      <c r="G13" s="30"/>
      <c r="H13" s="30"/>
      <c r="I13" s="690" t="s">
        <v>507</v>
      </c>
      <c r="J13" s="690"/>
      <c r="K13" s="690"/>
      <c r="L13" s="690"/>
      <c r="M13" s="652"/>
      <c r="N13" s="652"/>
      <c r="O13" s="30"/>
      <c r="P13" s="30"/>
      <c r="Q13" s="391" t="s">
        <v>507</v>
      </c>
      <c r="R13" s="30"/>
      <c r="S13" s="30"/>
      <c r="U13" s="30"/>
      <c r="V13" s="30"/>
      <c r="W13" s="30"/>
      <c r="X13" s="30"/>
      <c r="Y13" s="30"/>
      <c r="Z13" s="30"/>
      <c r="AA13" s="30"/>
      <c r="AB13" s="30"/>
      <c r="AC13" s="30"/>
      <c r="AD13" s="246"/>
    </row>
    <row r="14" spans="1:30">
      <c r="A14" s="712" t="str">
        <f>IF(appt_3&lt;&gt;"En attente",appt_3,"")</f>
        <v/>
      </c>
      <c r="B14" s="713"/>
      <c r="C14" s="713"/>
      <c r="D14" s="30"/>
      <c r="E14" s="344" t="str">
        <f>IF(A14&lt;&gt;"",appt_loy_3,"")</f>
        <v/>
      </c>
      <c r="F14" s="333" t="str">
        <f>appt_charg_3</f>
        <v/>
      </c>
      <c r="G14" s="30"/>
      <c r="H14" s="30"/>
      <c r="I14" s="690" t="s">
        <v>520</v>
      </c>
      <c r="J14" s="690"/>
      <c r="K14" s="690"/>
      <c r="L14" s="690"/>
      <c r="M14" s="652"/>
      <c r="N14" s="652"/>
      <c r="O14" s="30"/>
      <c r="P14" s="30"/>
      <c r="Q14" s="391" t="s">
        <v>490</v>
      </c>
      <c r="R14" s="30"/>
      <c r="S14" s="30"/>
      <c r="U14" s="30"/>
      <c r="V14" s="30"/>
      <c r="W14" s="30"/>
      <c r="X14" s="30"/>
      <c r="Y14" s="30"/>
      <c r="Z14" s="30"/>
      <c r="AA14" s="30"/>
      <c r="AB14" s="30"/>
      <c r="AC14" s="30"/>
      <c r="AD14" s="246"/>
    </row>
    <row r="15" spans="1:30">
      <c r="A15" s="714" t="str">
        <f>IF(appt_4&lt;&gt;"En attente",appt_4,"")</f>
        <v/>
      </c>
      <c r="B15" s="715"/>
      <c r="C15" s="715"/>
      <c r="D15" s="30"/>
      <c r="E15" s="344" t="str">
        <f>IF(A15&lt;&gt;"",appt_loy_4,"")</f>
        <v/>
      </c>
      <c r="F15" s="333" t="str">
        <f>appt_charg_4</f>
        <v/>
      </c>
      <c r="G15" s="30"/>
      <c r="H15" s="30"/>
      <c r="I15" s="690" t="s">
        <v>490</v>
      </c>
      <c r="J15" s="652"/>
      <c r="K15" s="652"/>
      <c r="L15" s="652"/>
      <c r="M15" s="652"/>
      <c r="N15" s="652"/>
      <c r="O15" s="30"/>
      <c r="P15" s="30"/>
      <c r="Q15" s="391" t="s">
        <v>490</v>
      </c>
      <c r="R15" s="30"/>
      <c r="S15" s="30"/>
      <c r="U15" s="30"/>
      <c r="V15" s="30"/>
      <c r="W15" s="30"/>
      <c r="X15" s="30"/>
      <c r="Y15" s="30"/>
      <c r="Z15" s="30"/>
      <c r="AA15" s="30"/>
      <c r="AB15" s="30"/>
      <c r="AC15" s="30"/>
      <c r="AD15" s="246"/>
    </row>
    <row r="16" spans="1:30">
      <c r="A16" s="716" t="str">
        <f>IF(appt_5&lt;&gt;"En attente",appt_5,"")</f>
        <v/>
      </c>
      <c r="B16" s="717"/>
      <c r="C16" s="717"/>
      <c r="D16" s="247"/>
      <c r="E16" s="351" t="str">
        <f>IF(A16&lt;&gt;"",appt_loy_5,"")</f>
        <v/>
      </c>
      <c r="F16" s="351" t="str">
        <f>IF(A16&lt;&gt;"",appt_charg_5,"")</f>
        <v/>
      </c>
      <c r="G16" s="247"/>
      <c r="H16" s="247"/>
      <c r="I16" s="696"/>
      <c r="J16" s="696"/>
      <c r="K16" s="696"/>
      <c r="L16" s="696"/>
      <c r="M16" s="247"/>
      <c r="N16" s="247"/>
      <c r="O16" s="247"/>
      <c r="P16" s="247"/>
      <c r="Q16" s="247"/>
      <c r="R16" s="247"/>
      <c r="S16" s="247"/>
      <c r="T16" s="392"/>
      <c r="U16" s="247"/>
      <c r="V16" s="247"/>
      <c r="W16" s="247"/>
      <c r="X16" s="247"/>
      <c r="Y16" s="247"/>
      <c r="Z16" s="247"/>
      <c r="AA16" s="247"/>
      <c r="AB16" s="247"/>
      <c r="AC16" s="247"/>
      <c r="AD16" s="248"/>
    </row>
    <row r="17" spans="1:30">
      <c r="A17" s="30"/>
      <c r="B17" s="30"/>
      <c r="C17" s="30"/>
      <c r="D17" s="30"/>
      <c r="E17" s="30"/>
      <c r="F17" s="30"/>
      <c r="G17" s="30"/>
      <c r="H17" s="30"/>
      <c r="I17" s="30"/>
      <c r="J17" s="30"/>
      <c r="L17" s="18"/>
    </row>
    <row r="18" spans="1:30" ht="15">
      <c r="B18" s="704" t="str">
        <f>A12</f>
        <v>Le_carrare</v>
      </c>
      <c r="C18" s="704"/>
      <c r="D18" s="705"/>
      <c r="E18" s="705"/>
      <c r="F18" s="705"/>
      <c r="H18" s="706" t="str">
        <f>A13</f>
        <v/>
      </c>
      <c r="I18" s="706"/>
      <c r="J18" s="707"/>
      <c r="K18" s="707"/>
      <c r="L18" s="707"/>
      <c r="N18" s="719" t="str">
        <f>A14</f>
        <v/>
      </c>
      <c r="O18" s="719"/>
      <c r="P18" s="720"/>
      <c r="Q18" s="720"/>
      <c r="R18" s="720"/>
      <c r="T18" s="691" t="str">
        <f>A15</f>
        <v/>
      </c>
      <c r="U18" s="691"/>
      <c r="V18" s="692"/>
      <c r="W18" s="692"/>
      <c r="X18" s="692"/>
      <c r="Z18" s="667" t="str">
        <f>A16</f>
        <v/>
      </c>
      <c r="AA18" s="667"/>
      <c r="AB18" s="693"/>
      <c r="AC18" s="693"/>
      <c r="AD18" s="693"/>
    </row>
    <row r="19" spans="1:30" ht="42" customHeight="1">
      <c r="A19" s="61"/>
      <c r="B19" s="338" t="s">
        <v>9</v>
      </c>
      <c r="C19" s="338" t="s">
        <v>65</v>
      </c>
      <c r="D19" s="339" t="s">
        <v>10</v>
      </c>
      <c r="E19" s="339" t="s">
        <v>11</v>
      </c>
      <c r="F19" s="340" t="s">
        <v>12</v>
      </c>
      <c r="G19" s="270"/>
      <c r="H19" s="338" t="s">
        <v>9</v>
      </c>
      <c r="I19" s="338" t="s">
        <v>65</v>
      </c>
      <c r="J19" s="339" t="s">
        <v>10</v>
      </c>
      <c r="K19" s="339" t="s">
        <v>11</v>
      </c>
      <c r="L19" s="340" t="s">
        <v>12</v>
      </c>
      <c r="N19" s="338" t="s">
        <v>9</v>
      </c>
      <c r="O19" s="338" t="s">
        <v>65</v>
      </c>
      <c r="P19" s="339" t="s">
        <v>10</v>
      </c>
      <c r="Q19" s="339" t="s">
        <v>11</v>
      </c>
      <c r="R19" s="340" t="s">
        <v>12</v>
      </c>
      <c r="T19" s="338" t="s">
        <v>9</v>
      </c>
      <c r="U19" s="338" t="s">
        <v>65</v>
      </c>
      <c r="V19" s="339" t="s">
        <v>10</v>
      </c>
      <c r="W19" s="339" t="s">
        <v>11</v>
      </c>
      <c r="X19" s="340" t="s">
        <v>12</v>
      </c>
      <c r="Z19" s="338" t="str">
        <f>IF(Z18&lt;&gt;"","Loyer","")</f>
        <v/>
      </c>
      <c r="AA19" s="338" t="str">
        <f>IF(Z18&lt;&gt;"","Charge","")</f>
        <v/>
      </c>
      <c r="AB19" s="338" t="str">
        <f>IF(Z18&lt;&gt;"","APL","")</f>
        <v/>
      </c>
      <c r="AC19" s="338" t="str">
        <f>IF(Z18&lt;&gt;"","Locataire","")</f>
        <v/>
      </c>
      <c r="AD19" s="338" t="str">
        <f>IF(Z18&lt;&gt;"","Solde","")</f>
        <v/>
      </c>
    </row>
    <row r="20" spans="1:30">
      <c r="A20" s="61">
        <v>2018</v>
      </c>
      <c r="B20" s="314"/>
      <c r="C20" s="314"/>
      <c r="D20" s="13"/>
      <c r="E20" s="13"/>
      <c r="F20" s="13"/>
      <c r="G20" s="334"/>
      <c r="H20" s="314"/>
      <c r="I20" s="314"/>
      <c r="J20" s="13"/>
      <c r="K20" s="13"/>
      <c r="L20" s="13"/>
      <c r="M20" s="336"/>
      <c r="N20" s="314"/>
      <c r="O20" s="314"/>
      <c r="P20" s="13"/>
      <c r="Q20" s="13"/>
      <c r="R20" s="13"/>
      <c r="S20" s="336"/>
      <c r="T20" s="314"/>
      <c r="U20" s="314"/>
      <c r="V20" s="13"/>
      <c r="W20" s="13"/>
      <c r="X20" s="13"/>
      <c r="Y20" s="336"/>
      <c r="Z20" s="314"/>
      <c r="AA20" s="314"/>
      <c r="AB20" s="13"/>
      <c r="AC20" s="13"/>
      <c r="AD20" s="13"/>
    </row>
    <row r="21" spans="1:30">
      <c r="A21" s="64" t="str">
        <f>Old_recap!A7</f>
        <v>Janvier</v>
      </c>
      <c r="B21" s="397">
        <v>290</v>
      </c>
      <c r="C21" s="341">
        <v>50</v>
      </c>
      <c r="D21" s="341">
        <v>269</v>
      </c>
      <c r="E21" s="341">
        <v>71</v>
      </c>
      <c r="F21" s="342">
        <f t="shared" ref="F21:F32" si="0">IF(ISNUMBER(B21),(D21+E21)-(B21+C21),"")</f>
        <v>0</v>
      </c>
      <c r="G21" s="335"/>
      <c r="H21" s="398">
        <v>740</v>
      </c>
      <c r="I21" s="345">
        <v>130</v>
      </c>
      <c r="J21" s="341"/>
      <c r="K21" s="341">
        <v>870</v>
      </c>
      <c r="L21" s="342">
        <f>IF(ISNUMBER(H21),(J21+K21)-(H21+I21),"")</f>
        <v>0</v>
      </c>
      <c r="M21" s="336"/>
      <c r="N21" s="345">
        <v>390</v>
      </c>
      <c r="O21" s="345">
        <v>70</v>
      </c>
      <c r="P21" s="341">
        <v>0</v>
      </c>
      <c r="Q21" s="346">
        <v>460</v>
      </c>
      <c r="R21" s="342">
        <f>IF(ISNUMBER(N21),(P21+Q21)-(N21+O21),"")</f>
        <v>0</v>
      </c>
      <c r="S21" s="336"/>
      <c r="T21" s="398">
        <v>0</v>
      </c>
      <c r="U21" s="345">
        <v>0</v>
      </c>
      <c r="V21" s="467"/>
      <c r="W21" s="341">
        <v>0</v>
      </c>
      <c r="X21" s="342">
        <f>IF(ISNUMBER(T21),(V21+W21)-(T21+U21),"")</f>
        <v>0</v>
      </c>
      <c r="Y21" s="336"/>
      <c r="Z21" s="514" t="s">
        <v>25</v>
      </c>
      <c r="AA21" s="345" t="str">
        <f>IF(A$16&lt;&gt;"",recap_L5!$C7,"")</f>
        <v/>
      </c>
      <c r="AB21" s="345" t="str">
        <f>IF(A$16&lt;&gt;"",IF(recap_L5!$D7&lt;&gt;"",recap_L5!$D7,0),"")</f>
        <v/>
      </c>
      <c r="AC21" s="345" t="str">
        <f>IF(A$16&lt;&gt;"",recap_L5!$F7,"")</f>
        <v/>
      </c>
      <c r="AD21" s="345" t="str">
        <f>IF(ISNUMBER(Z21),(AB21+AC21)-(Z21+AA21),"")</f>
        <v/>
      </c>
    </row>
    <row r="22" spans="1:30">
      <c r="A22" s="64" t="str">
        <f>Old_recap!A8</f>
        <v>Fevrier</v>
      </c>
      <c r="B22" s="397">
        <v>290</v>
      </c>
      <c r="C22" s="341">
        <v>50</v>
      </c>
      <c r="D22" s="341">
        <v>269</v>
      </c>
      <c r="E22" s="341">
        <v>71</v>
      </c>
      <c r="F22" s="342">
        <f t="shared" si="0"/>
        <v>0</v>
      </c>
      <c r="G22" s="335"/>
      <c r="H22" s="398">
        <v>740</v>
      </c>
      <c r="I22" s="345">
        <v>130</v>
      </c>
      <c r="J22" s="341"/>
      <c r="K22" s="341">
        <v>870</v>
      </c>
      <c r="L22" s="342">
        <f>IF(ISNUMBER(H22),(J22+K22)-(H22+I22),"")</f>
        <v>0</v>
      </c>
      <c r="M22" s="336"/>
      <c r="N22" s="345">
        <v>390</v>
      </c>
      <c r="O22" s="345">
        <v>70</v>
      </c>
      <c r="P22" s="341">
        <v>0</v>
      </c>
      <c r="Q22" s="346">
        <v>460</v>
      </c>
      <c r="R22" s="342">
        <f t="shared" ref="R22:R32" si="1">IF(ISNUMBER(N22),(P22+Q22)-(N22+O22),"")</f>
        <v>0</v>
      </c>
      <c r="S22" s="336"/>
      <c r="T22" s="398">
        <v>0</v>
      </c>
      <c r="U22" s="345">
        <v>0</v>
      </c>
      <c r="V22" s="467"/>
      <c r="W22" s="341">
        <v>0</v>
      </c>
      <c r="X22" s="342">
        <f t="shared" ref="X22:X32" si="2">IF(ISNUMBER(T22),(V22+W22)-(T22+U22),"")</f>
        <v>0</v>
      </c>
      <c r="Y22" s="336"/>
      <c r="Z22" s="514" t="s">
        <v>25</v>
      </c>
      <c r="AA22" s="345" t="str">
        <f>IF(A$16&lt;&gt;"",recap_L5!$C8,"")</f>
        <v/>
      </c>
      <c r="AB22" s="345" t="str">
        <f>IF(A$16&lt;&gt;"",IF(recap_L5!$D8&lt;&gt;"",recap_L5!$D8,0),"")</f>
        <v/>
      </c>
      <c r="AC22" s="345" t="str">
        <f>IF(A$16&lt;&gt;"",recap_L5!$F8,"")</f>
        <v/>
      </c>
      <c r="AD22" s="345" t="str">
        <f t="shared" ref="AD22:AD32" si="3">IF(ISNUMBER(Z22),(AB22+AC22)-(Z22+AA22),"")</f>
        <v/>
      </c>
    </row>
    <row r="23" spans="1:30">
      <c r="A23" s="64" t="str">
        <f>Old_recap!A9</f>
        <v>Mars</v>
      </c>
      <c r="B23" s="397">
        <v>290</v>
      </c>
      <c r="C23" s="341">
        <v>50</v>
      </c>
      <c r="D23" s="341">
        <v>269</v>
      </c>
      <c r="E23" s="341">
        <v>71</v>
      </c>
      <c r="F23" s="342">
        <f t="shared" si="0"/>
        <v>0</v>
      </c>
      <c r="G23" s="335"/>
      <c r="H23" s="398">
        <v>740</v>
      </c>
      <c r="I23" s="345">
        <v>130</v>
      </c>
      <c r="J23" s="341"/>
      <c r="K23" s="341">
        <v>870</v>
      </c>
      <c r="L23" s="342">
        <f t="shared" ref="L23:L32" si="4">IF(ISNUMBER(H23),(J23+K23)-(H23+I23),"")</f>
        <v>0</v>
      </c>
      <c r="M23" s="336"/>
      <c r="N23" s="345">
        <v>390</v>
      </c>
      <c r="O23" s="345">
        <v>70</v>
      </c>
      <c r="P23" s="341">
        <v>0</v>
      </c>
      <c r="Q23" s="346">
        <v>460</v>
      </c>
      <c r="R23" s="342">
        <f t="shared" si="1"/>
        <v>0</v>
      </c>
      <c r="S23" s="336"/>
      <c r="T23" s="398">
        <v>0</v>
      </c>
      <c r="U23" s="345">
        <v>0</v>
      </c>
      <c r="V23" s="467"/>
      <c r="W23" s="341">
        <v>0</v>
      </c>
      <c r="X23" s="342">
        <f t="shared" si="2"/>
        <v>0</v>
      </c>
      <c r="Y23" s="336"/>
      <c r="Z23" s="514" t="s">
        <v>25</v>
      </c>
      <c r="AA23" s="345" t="str">
        <f>IF(A$16&lt;&gt;"",recap_L5!$C9,"")</f>
        <v/>
      </c>
      <c r="AB23" s="345" t="str">
        <f>IF(A$16&lt;&gt;"",IF(recap_L5!$D9&lt;&gt;"",recap_L5!$D9,0),"")</f>
        <v/>
      </c>
      <c r="AC23" s="345" t="str">
        <f>IF(A$16&lt;&gt;"",recap_L5!$F9,"")</f>
        <v/>
      </c>
      <c r="AD23" s="345" t="str">
        <f t="shared" si="3"/>
        <v/>
      </c>
    </row>
    <row r="24" spans="1:30">
      <c r="A24" s="64" t="str">
        <f>Old_recap!A10</f>
        <v>Avril</v>
      </c>
      <c r="B24" s="397">
        <v>290</v>
      </c>
      <c r="C24" s="341">
        <v>50</v>
      </c>
      <c r="D24" s="341">
        <v>269</v>
      </c>
      <c r="E24" s="341">
        <v>71</v>
      </c>
      <c r="F24" s="342">
        <f t="shared" si="0"/>
        <v>0</v>
      </c>
      <c r="G24" s="335"/>
      <c r="H24" s="398">
        <v>740</v>
      </c>
      <c r="I24" s="345">
        <v>130</v>
      </c>
      <c r="J24" s="341"/>
      <c r="K24" s="341">
        <v>870</v>
      </c>
      <c r="L24" s="342">
        <f t="shared" si="4"/>
        <v>0</v>
      </c>
      <c r="M24" s="336"/>
      <c r="N24" s="345">
        <v>390</v>
      </c>
      <c r="O24" s="345">
        <v>70</v>
      </c>
      <c r="P24" s="341">
        <v>0</v>
      </c>
      <c r="Q24" s="346">
        <v>460</v>
      </c>
      <c r="R24" s="342">
        <f t="shared" si="1"/>
        <v>0</v>
      </c>
      <c r="S24" s="336"/>
      <c r="T24" s="398">
        <v>0</v>
      </c>
      <c r="U24" s="345">
        <v>0</v>
      </c>
      <c r="V24" s="467"/>
      <c r="W24" s="341">
        <v>0</v>
      </c>
      <c r="X24" s="342">
        <f t="shared" si="2"/>
        <v>0</v>
      </c>
      <c r="Y24" s="336"/>
      <c r="Z24" s="514" t="s">
        <v>25</v>
      </c>
      <c r="AA24" s="345" t="str">
        <f>IF(A$16&lt;&gt;"",recap_L5!$C10,"")</f>
        <v/>
      </c>
      <c r="AB24" s="345" t="str">
        <f>IF(A$16&lt;&gt;"",IF(recap_L5!$D10&lt;&gt;"",recap_L5!$D10,0),"")</f>
        <v/>
      </c>
      <c r="AC24" s="345" t="str">
        <f>IF(A$16&lt;&gt;"",recap_L5!$F10,"")</f>
        <v/>
      </c>
      <c r="AD24" s="345" t="str">
        <f t="shared" si="3"/>
        <v/>
      </c>
    </row>
    <row r="25" spans="1:30">
      <c r="A25" s="64" t="str">
        <f>Old_recap!A11</f>
        <v>Mai</v>
      </c>
      <c r="B25" s="397">
        <v>290</v>
      </c>
      <c r="C25" s="341">
        <v>50</v>
      </c>
      <c r="D25" s="341">
        <v>269</v>
      </c>
      <c r="E25" s="341">
        <v>71</v>
      </c>
      <c r="F25" s="342">
        <f t="shared" si="0"/>
        <v>0</v>
      </c>
      <c r="G25" s="335"/>
      <c r="H25" s="398">
        <v>740</v>
      </c>
      <c r="I25" s="345">
        <v>130</v>
      </c>
      <c r="J25" s="341"/>
      <c r="K25" s="341">
        <v>870</v>
      </c>
      <c r="L25" s="342">
        <f t="shared" si="4"/>
        <v>0</v>
      </c>
      <c r="M25" s="336"/>
      <c r="N25" s="345">
        <v>390</v>
      </c>
      <c r="O25" s="345">
        <v>70</v>
      </c>
      <c r="P25" s="341">
        <v>0</v>
      </c>
      <c r="Q25" s="346">
        <v>460</v>
      </c>
      <c r="R25" s="342">
        <f t="shared" si="1"/>
        <v>0</v>
      </c>
      <c r="S25" s="336"/>
      <c r="T25" s="398">
        <v>0</v>
      </c>
      <c r="U25" s="345">
        <v>0</v>
      </c>
      <c r="V25" s="467"/>
      <c r="W25" s="341">
        <v>0</v>
      </c>
      <c r="X25" s="342">
        <f t="shared" si="2"/>
        <v>0</v>
      </c>
      <c r="Y25" s="336"/>
      <c r="Z25" s="514" t="s">
        <v>25</v>
      </c>
      <c r="AA25" s="345" t="str">
        <f>IF(A$16&lt;&gt;"",recap_L5!$C11,"")</f>
        <v/>
      </c>
      <c r="AB25" s="345" t="str">
        <f>IF(A$16&lt;&gt;"",IF(recap_L5!$D11&lt;&gt;"",recap_L5!$D11,0),"")</f>
        <v/>
      </c>
      <c r="AC25" s="345" t="str">
        <f>IF(A$16&lt;&gt;"",recap_L5!$F11,"")</f>
        <v/>
      </c>
      <c r="AD25" s="345" t="str">
        <f t="shared" si="3"/>
        <v/>
      </c>
    </row>
    <row r="26" spans="1:30">
      <c r="A26" s="64" t="str">
        <f>Old_recap!A12</f>
        <v>Juin</v>
      </c>
      <c r="B26" s="397">
        <v>290</v>
      </c>
      <c r="C26" s="341">
        <v>50</v>
      </c>
      <c r="D26" s="341">
        <v>269</v>
      </c>
      <c r="E26" s="341">
        <v>71</v>
      </c>
      <c r="F26" s="342">
        <f t="shared" si="0"/>
        <v>0</v>
      </c>
      <c r="G26" s="335"/>
      <c r="H26" s="398">
        <v>740</v>
      </c>
      <c r="I26" s="345">
        <v>130</v>
      </c>
      <c r="J26" s="341"/>
      <c r="K26" s="341">
        <v>870</v>
      </c>
      <c r="L26" s="342">
        <f t="shared" si="4"/>
        <v>0</v>
      </c>
      <c r="M26" s="336"/>
      <c r="N26" s="345">
        <v>390</v>
      </c>
      <c r="O26" s="345">
        <v>70</v>
      </c>
      <c r="P26" s="341">
        <v>0</v>
      </c>
      <c r="Q26" s="346">
        <v>460</v>
      </c>
      <c r="R26" s="342">
        <f t="shared" si="1"/>
        <v>0</v>
      </c>
      <c r="S26" s="336"/>
      <c r="T26" s="398">
        <v>0</v>
      </c>
      <c r="U26" s="345">
        <v>0</v>
      </c>
      <c r="V26" s="467"/>
      <c r="W26" s="341">
        <v>0</v>
      </c>
      <c r="X26" s="342">
        <f t="shared" si="2"/>
        <v>0</v>
      </c>
      <c r="Y26" s="336"/>
      <c r="Z26" s="514" t="s">
        <v>25</v>
      </c>
      <c r="AA26" s="345" t="str">
        <f>IF(A$16&lt;&gt;"",recap_L5!$C12,"")</f>
        <v/>
      </c>
      <c r="AB26" s="345" t="str">
        <f>IF(A$16&lt;&gt;"",IF(recap_L5!$D12&lt;&gt;"",recap_L5!$D12,0),"")</f>
        <v/>
      </c>
      <c r="AC26" s="345" t="str">
        <f>IF(A$16&lt;&gt;"",recap_L5!$F12,"")</f>
        <v/>
      </c>
      <c r="AD26" s="345" t="str">
        <f t="shared" si="3"/>
        <v/>
      </c>
    </row>
    <row r="27" spans="1:30">
      <c r="A27" s="64" t="str">
        <f>Old_recap!A13</f>
        <v>Juillet</v>
      </c>
      <c r="B27" s="397">
        <v>290</v>
      </c>
      <c r="C27" s="341">
        <v>50</v>
      </c>
      <c r="D27" s="341">
        <v>269</v>
      </c>
      <c r="E27" s="341">
        <v>71</v>
      </c>
      <c r="F27" s="342">
        <f t="shared" si="0"/>
        <v>0</v>
      </c>
      <c r="G27" s="335"/>
      <c r="H27" s="398">
        <v>740</v>
      </c>
      <c r="I27" s="345">
        <v>130</v>
      </c>
      <c r="J27" s="341"/>
      <c r="K27" s="341">
        <v>870</v>
      </c>
      <c r="L27" s="342">
        <f t="shared" si="4"/>
        <v>0</v>
      </c>
      <c r="M27" s="336"/>
      <c r="N27" s="345">
        <v>390</v>
      </c>
      <c r="O27" s="345">
        <v>70</v>
      </c>
      <c r="P27" s="341">
        <v>0</v>
      </c>
      <c r="Q27" s="346">
        <v>460</v>
      </c>
      <c r="R27" s="342">
        <f t="shared" si="1"/>
        <v>0</v>
      </c>
      <c r="S27" s="336"/>
      <c r="T27" s="398">
        <v>0</v>
      </c>
      <c r="U27" s="345">
        <v>0</v>
      </c>
      <c r="V27" s="467"/>
      <c r="W27" s="341">
        <v>0</v>
      </c>
      <c r="X27" s="342">
        <f t="shared" si="2"/>
        <v>0</v>
      </c>
      <c r="Y27" s="336"/>
      <c r="Z27" s="514" t="s">
        <v>25</v>
      </c>
      <c r="AA27" s="345" t="str">
        <f>IF(A$16&lt;&gt;"",recap_L5!$C13,"")</f>
        <v/>
      </c>
      <c r="AB27" s="345" t="str">
        <f>IF(A$16&lt;&gt;"",IF(recap_L5!$D13&lt;&gt;"",recap_L5!$D13,0),"")</f>
        <v/>
      </c>
      <c r="AC27" s="345" t="str">
        <f>IF(A$16&lt;&gt;"",recap_L5!$F13,"")</f>
        <v/>
      </c>
      <c r="AD27" s="345" t="str">
        <f t="shared" si="3"/>
        <v/>
      </c>
    </row>
    <row r="28" spans="1:30">
      <c r="A28" s="64" t="str">
        <f>Old_recap!A14</f>
        <v>Aout</v>
      </c>
      <c r="B28" s="397">
        <v>290</v>
      </c>
      <c r="C28" s="341">
        <v>50</v>
      </c>
      <c r="D28" s="341"/>
      <c r="E28" s="341">
        <v>340</v>
      </c>
      <c r="F28" s="342">
        <f t="shared" si="0"/>
        <v>0</v>
      </c>
      <c r="G28" s="335"/>
      <c r="H28" s="398">
        <v>740</v>
      </c>
      <c r="I28" s="345">
        <v>130</v>
      </c>
      <c r="J28" s="341"/>
      <c r="K28" s="341">
        <v>870</v>
      </c>
      <c r="L28" s="342">
        <f t="shared" si="4"/>
        <v>0</v>
      </c>
      <c r="M28" s="336"/>
      <c r="N28" s="345">
        <v>390</v>
      </c>
      <c r="O28" s="345">
        <v>70</v>
      </c>
      <c r="P28" s="341">
        <v>0</v>
      </c>
      <c r="Q28" s="346">
        <v>0</v>
      </c>
      <c r="R28" s="342">
        <f t="shared" si="1"/>
        <v>-460</v>
      </c>
      <c r="S28" s="336"/>
      <c r="T28" s="398">
        <v>0</v>
      </c>
      <c r="U28" s="345">
        <v>0</v>
      </c>
      <c r="V28" s="467"/>
      <c r="W28" s="341">
        <v>0</v>
      </c>
      <c r="X28" s="342">
        <f t="shared" si="2"/>
        <v>0</v>
      </c>
      <c r="Y28" s="336"/>
      <c r="Z28" s="514" t="s">
        <v>25</v>
      </c>
      <c r="AA28" s="345" t="str">
        <f>IF(A$16&lt;&gt;"",recap_L5!$C14,"")</f>
        <v/>
      </c>
      <c r="AB28" s="345" t="str">
        <f>IF(A$16&lt;&gt;"",IF(recap_L5!$D14&lt;&gt;"",recap_L5!$D14,0),"")</f>
        <v/>
      </c>
      <c r="AC28" s="345" t="str">
        <f>IF(A$16&lt;&gt;"",recap_L5!$F14,"")</f>
        <v/>
      </c>
      <c r="AD28" s="345" t="str">
        <f t="shared" si="3"/>
        <v/>
      </c>
    </row>
    <row r="29" spans="1:30">
      <c r="A29" s="64" t="str">
        <f>Old_recap!A15</f>
        <v>Septembre</v>
      </c>
      <c r="B29" s="397">
        <v>290</v>
      </c>
      <c r="C29" s="341">
        <v>50</v>
      </c>
      <c r="D29" s="341"/>
      <c r="E29" s="341">
        <v>0</v>
      </c>
      <c r="F29" s="342">
        <f t="shared" si="0"/>
        <v>-340</v>
      </c>
      <c r="G29" s="335"/>
      <c r="H29" s="398">
        <v>740</v>
      </c>
      <c r="I29" s="345">
        <v>130</v>
      </c>
      <c r="J29" s="341"/>
      <c r="K29" s="341">
        <v>0</v>
      </c>
      <c r="L29" s="342">
        <f t="shared" si="4"/>
        <v>-870</v>
      </c>
      <c r="M29" s="336"/>
      <c r="N29" s="345">
        <v>390</v>
      </c>
      <c r="O29" s="345">
        <v>70</v>
      </c>
      <c r="P29" s="341">
        <v>0</v>
      </c>
      <c r="Q29" s="346">
        <v>0</v>
      </c>
      <c r="R29" s="342">
        <f t="shared" si="1"/>
        <v>-460</v>
      </c>
      <c r="S29" s="336"/>
      <c r="T29" s="398">
        <v>0</v>
      </c>
      <c r="U29" s="345">
        <v>0</v>
      </c>
      <c r="V29" s="467"/>
      <c r="W29" s="341">
        <v>0</v>
      </c>
      <c r="X29" s="342">
        <f t="shared" si="2"/>
        <v>0</v>
      </c>
      <c r="Y29" s="336"/>
      <c r="Z29" s="514" t="s">
        <v>25</v>
      </c>
      <c r="AA29" s="345" t="str">
        <f>IF(A$16&lt;&gt;"",recap_L5!$C15,"")</f>
        <v/>
      </c>
      <c r="AB29" s="345" t="str">
        <f>IF(A$16&lt;&gt;"",IF(recap_L5!$D15&lt;&gt;"",recap_L5!$D15,0),"")</f>
        <v/>
      </c>
      <c r="AC29" s="345" t="str">
        <f>IF(A$16&lt;&gt;"",recap_L5!$F15,"")</f>
        <v/>
      </c>
      <c r="AD29" s="345" t="str">
        <f t="shared" si="3"/>
        <v/>
      </c>
    </row>
    <row r="30" spans="1:30">
      <c r="A30" s="64" t="str">
        <f>Old_recap!A16</f>
        <v>Octobre</v>
      </c>
      <c r="B30" s="397">
        <v>290</v>
      </c>
      <c r="C30" s="341">
        <v>50</v>
      </c>
      <c r="D30" s="341"/>
      <c r="E30" s="341">
        <v>0</v>
      </c>
      <c r="F30" s="342">
        <f t="shared" si="0"/>
        <v>-340</v>
      </c>
      <c r="G30" s="335"/>
      <c r="H30" s="398">
        <v>740</v>
      </c>
      <c r="I30" s="345">
        <v>130</v>
      </c>
      <c r="J30" s="341"/>
      <c r="K30" s="341">
        <v>0</v>
      </c>
      <c r="L30" s="342">
        <f t="shared" si="4"/>
        <v>-870</v>
      </c>
      <c r="M30" s="336"/>
      <c r="N30" s="345">
        <v>390</v>
      </c>
      <c r="O30" s="345">
        <v>70</v>
      </c>
      <c r="P30" s="341">
        <v>0</v>
      </c>
      <c r="Q30" s="346">
        <v>0</v>
      </c>
      <c r="R30" s="342">
        <f t="shared" si="1"/>
        <v>-460</v>
      </c>
      <c r="S30" s="336"/>
      <c r="T30" s="398">
        <v>0</v>
      </c>
      <c r="U30" s="345">
        <v>0</v>
      </c>
      <c r="V30" s="467"/>
      <c r="W30" s="341">
        <v>0</v>
      </c>
      <c r="X30" s="342">
        <f t="shared" si="2"/>
        <v>0</v>
      </c>
      <c r="Y30" s="336"/>
      <c r="Z30" s="514" t="s">
        <v>25</v>
      </c>
      <c r="AA30" s="345" t="str">
        <f>IF(A$16&lt;&gt;"",recap_L5!$C16,"")</f>
        <v/>
      </c>
      <c r="AB30" s="345" t="str">
        <f>IF(A$16&lt;&gt;"",IF(recap_L5!$D16&lt;&gt;"",recap_L5!$D16,0),"")</f>
        <v/>
      </c>
      <c r="AC30" s="345" t="str">
        <f>IF(A$16&lt;&gt;"",recap_L5!$F16,"")</f>
        <v/>
      </c>
      <c r="AD30" s="345" t="str">
        <f t="shared" si="3"/>
        <v/>
      </c>
    </row>
    <row r="31" spans="1:30">
      <c r="A31" s="64" t="str">
        <f>Old_recap!A17</f>
        <v>Novembre</v>
      </c>
      <c r="B31" s="397">
        <v>290</v>
      </c>
      <c r="C31" s="341">
        <v>50</v>
      </c>
      <c r="D31" s="341"/>
      <c r="E31" s="341">
        <v>0</v>
      </c>
      <c r="F31" s="342">
        <f t="shared" si="0"/>
        <v>-340</v>
      </c>
      <c r="G31" s="335"/>
      <c r="H31" s="398">
        <v>740</v>
      </c>
      <c r="I31" s="345">
        <v>130</v>
      </c>
      <c r="J31" s="341"/>
      <c r="K31" s="341">
        <v>0</v>
      </c>
      <c r="L31" s="342">
        <f t="shared" si="4"/>
        <v>-870</v>
      </c>
      <c r="M31" s="336"/>
      <c r="N31" s="345">
        <v>390</v>
      </c>
      <c r="O31" s="345">
        <v>70</v>
      </c>
      <c r="P31" s="341">
        <v>0</v>
      </c>
      <c r="Q31" s="346">
        <v>0</v>
      </c>
      <c r="R31" s="342">
        <f t="shared" si="1"/>
        <v>-460</v>
      </c>
      <c r="S31" s="336"/>
      <c r="T31" s="398">
        <v>0</v>
      </c>
      <c r="U31" s="345">
        <v>0</v>
      </c>
      <c r="V31" s="467"/>
      <c r="W31" s="341">
        <v>0</v>
      </c>
      <c r="X31" s="342">
        <f t="shared" si="2"/>
        <v>0</v>
      </c>
      <c r="Y31" s="336"/>
      <c r="Z31" s="514" t="s">
        <v>25</v>
      </c>
      <c r="AA31" s="345" t="str">
        <f>IF(A$16&lt;&gt;"",recap_L5!$C17,"")</f>
        <v/>
      </c>
      <c r="AB31" s="345" t="str">
        <f>IF(A$16&lt;&gt;"",IF(recap_L5!$D17&lt;&gt;"",recap_L5!$D17,0),"")</f>
        <v/>
      </c>
      <c r="AC31" s="345" t="str">
        <f>IF(A$16&lt;&gt;"",recap_L5!$F17,"")</f>
        <v/>
      </c>
      <c r="AD31" s="345" t="str">
        <f t="shared" si="3"/>
        <v/>
      </c>
    </row>
    <row r="32" spans="1:30">
      <c r="A32" s="64" t="str">
        <f>Old_recap!A18</f>
        <v>Decembre</v>
      </c>
      <c r="B32" s="397">
        <v>290</v>
      </c>
      <c r="C32" s="341">
        <v>50</v>
      </c>
      <c r="D32" s="341"/>
      <c r="E32" s="341">
        <v>0</v>
      </c>
      <c r="F32" s="342">
        <f t="shared" si="0"/>
        <v>-340</v>
      </c>
      <c r="G32" s="335"/>
      <c r="H32" s="398">
        <v>740</v>
      </c>
      <c r="I32" s="345">
        <v>130</v>
      </c>
      <c r="J32" s="341"/>
      <c r="K32" s="341">
        <v>0</v>
      </c>
      <c r="L32" s="342">
        <f t="shared" si="4"/>
        <v>-870</v>
      </c>
      <c r="M32" s="336"/>
      <c r="N32" s="345">
        <v>390</v>
      </c>
      <c r="O32" s="345">
        <v>70</v>
      </c>
      <c r="P32" s="341">
        <v>0</v>
      </c>
      <c r="Q32" s="346">
        <v>0</v>
      </c>
      <c r="R32" s="342">
        <f t="shared" si="1"/>
        <v>-460</v>
      </c>
      <c r="S32" s="336"/>
      <c r="T32" s="398">
        <v>0</v>
      </c>
      <c r="U32" s="345">
        <v>0</v>
      </c>
      <c r="V32" s="467"/>
      <c r="W32" s="341">
        <v>0</v>
      </c>
      <c r="X32" s="342">
        <f t="shared" si="2"/>
        <v>0</v>
      </c>
      <c r="Y32" s="336"/>
      <c r="Z32" s="514" t="s">
        <v>25</v>
      </c>
      <c r="AA32" s="345" t="str">
        <f>IF(A$16&lt;&gt;"",recap_L5!$C18,"")</f>
        <v/>
      </c>
      <c r="AB32" s="345" t="str">
        <f>IF(A$16&lt;&gt;"",IF(recap_L5!$D18&lt;&gt;"",recap_L5!$D18,0),"")</f>
        <v/>
      </c>
      <c r="AC32" s="345" t="str">
        <f>IF(A$16&lt;&gt;"",recap_L5!$F18,"")</f>
        <v/>
      </c>
      <c r="AD32" s="345" t="str">
        <f t="shared" si="3"/>
        <v/>
      </c>
    </row>
    <row r="33" spans="1:31">
      <c r="B33" s="65"/>
      <c r="F33" s="564">
        <f>SUM(D21:E32)</f>
        <v>2720</v>
      </c>
      <c r="H33" s="65"/>
      <c r="L33" s="564">
        <f>SUM(J21:K32)</f>
        <v>6960</v>
      </c>
      <c r="N33" s="65"/>
      <c r="R33" s="564">
        <f>SUM(P21:Q32)</f>
        <v>3220</v>
      </c>
      <c r="T33" s="65"/>
      <c r="Z33" s="65"/>
    </row>
    <row r="34" spans="1:31" s="509" customFormat="1">
      <c r="A34" s="282" t="s">
        <v>239</v>
      </c>
      <c r="B34" s="65"/>
      <c r="F34" s="564"/>
      <c r="H34" s="65"/>
      <c r="L34" s="564"/>
      <c r="N34" s="65"/>
      <c r="R34" s="564"/>
      <c r="T34" s="65"/>
      <c r="Z34" s="65"/>
    </row>
    <row r="35" spans="1:31" s="509" customFormat="1">
      <c r="A35" s="597" t="s">
        <v>835</v>
      </c>
      <c r="B35" s="598"/>
      <c r="C35" s="599"/>
      <c r="D35" s="599"/>
      <c r="E35" s="686" t="s">
        <v>836</v>
      </c>
      <c r="F35" s="686"/>
      <c r="G35" s="686"/>
      <c r="H35" s="686"/>
      <c r="I35" s="686"/>
      <c r="J35" s="599"/>
      <c r="K35" s="600" t="s">
        <v>838</v>
      </c>
      <c r="L35" s="601"/>
      <c r="M35" s="599"/>
      <c r="N35" s="598"/>
      <c r="O35" s="599"/>
      <c r="P35" s="599"/>
      <c r="Q35" s="599"/>
      <c r="R35" s="602" t="s">
        <v>840</v>
      </c>
      <c r="S35" s="599"/>
      <c r="T35" s="687" t="s">
        <v>841</v>
      </c>
      <c r="U35" s="686"/>
      <c r="V35" s="686"/>
      <c r="W35" s="599"/>
      <c r="X35" s="600" t="s">
        <v>839</v>
      </c>
      <c r="Y35" s="599"/>
      <c r="Z35" s="598"/>
      <c r="AA35" s="599"/>
      <c r="AB35" s="686" t="s">
        <v>837</v>
      </c>
      <c r="AC35" s="686"/>
      <c r="AD35" s="686"/>
      <c r="AE35" s="603"/>
    </row>
    <row r="37" spans="1:31">
      <c r="A37" t="s">
        <v>663</v>
      </c>
      <c r="B37" s="688">
        <f ca="1">TODAY()</f>
        <v>43335</v>
      </c>
      <c r="C37" s="688"/>
      <c r="D37" s="688"/>
      <c r="E37" s="688"/>
      <c r="F37" s="688"/>
      <c r="Z37" s="503" t="str">
        <f>"Logiciel CLOEMA (" &amp; cod_version &amp; ")"</f>
        <v>Logiciel CLOEMA (V202_f)</v>
      </c>
      <c r="AD37" s="65"/>
    </row>
  </sheetData>
  <mergeCells count="31">
    <mergeCell ref="I15:N15"/>
    <mergeCell ref="I11:N11"/>
    <mergeCell ref="B1:S1"/>
    <mergeCell ref="B18:F18"/>
    <mergeCell ref="H18:L18"/>
    <mergeCell ref="A12:C12"/>
    <mergeCell ref="A13:C13"/>
    <mergeCell ref="A14:C14"/>
    <mergeCell ref="A15:C15"/>
    <mergeCell ref="A16:C16"/>
    <mergeCell ref="B4:L4"/>
    <mergeCell ref="I16:L16"/>
    <mergeCell ref="N18:R18"/>
    <mergeCell ref="Q11:V11"/>
    <mergeCell ref="A3:B3"/>
    <mergeCell ref="E35:I35"/>
    <mergeCell ref="T35:V35"/>
    <mergeCell ref="AB35:AD35"/>
    <mergeCell ref="B37:F37"/>
    <mergeCell ref="B6:J6"/>
    <mergeCell ref="K6:Q6"/>
    <mergeCell ref="W6:AD6"/>
    <mergeCell ref="T18:X18"/>
    <mergeCell ref="Z18:AD18"/>
    <mergeCell ref="D7:G7"/>
    <mergeCell ref="I7:J7"/>
    <mergeCell ref="K7:N7"/>
    <mergeCell ref="B8:L8"/>
    <mergeCell ref="I12:N12"/>
    <mergeCell ref="I13:N13"/>
    <mergeCell ref="I14:N14"/>
  </mergeCells>
  <conditionalFormatting sqref="F21">
    <cfRule type="cellIs" dxfId="113" priority="50" operator="lessThan">
      <formula>0</formula>
    </cfRule>
  </conditionalFormatting>
  <conditionalFormatting sqref="T16 Q12:Q15">
    <cfRule type="cellIs" dxfId="112" priority="39" operator="equal">
      <formula>"logement vacant"</formula>
    </cfRule>
  </conditionalFormatting>
  <conditionalFormatting sqref="F22:F32">
    <cfRule type="cellIs" dxfId="111" priority="36" operator="lessThan">
      <formula>0</formula>
    </cfRule>
  </conditionalFormatting>
  <conditionalFormatting sqref="L21">
    <cfRule type="cellIs" dxfId="110" priority="35" operator="lessThan">
      <formula>0</formula>
    </cfRule>
  </conditionalFormatting>
  <conditionalFormatting sqref="L22">
    <cfRule type="cellIs" dxfId="109" priority="34" operator="lessThan">
      <formula>0</formula>
    </cfRule>
  </conditionalFormatting>
  <conditionalFormatting sqref="L23:L32">
    <cfRule type="cellIs" dxfId="108" priority="33" operator="lessThan">
      <formula>0</formula>
    </cfRule>
  </conditionalFormatting>
  <conditionalFormatting sqref="R21">
    <cfRule type="cellIs" dxfId="107" priority="32" operator="lessThan">
      <formula>0</formula>
    </cfRule>
  </conditionalFormatting>
  <conditionalFormatting sqref="R22:R32">
    <cfRule type="cellIs" dxfId="106" priority="31" operator="lessThan">
      <formula>0</formula>
    </cfRule>
  </conditionalFormatting>
  <conditionalFormatting sqref="X21">
    <cfRule type="cellIs" dxfId="105" priority="30" operator="lessThan">
      <formula>0</formula>
    </cfRule>
  </conditionalFormatting>
  <conditionalFormatting sqref="AD21">
    <cfRule type="cellIs" dxfId="104" priority="29" operator="lessThan">
      <formula>0</formula>
    </cfRule>
  </conditionalFormatting>
  <conditionalFormatting sqref="X22:X32">
    <cfRule type="cellIs" dxfId="103" priority="28" operator="lessThan">
      <formula>0</formula>
    </cfRule>
  </conditionalFormatting>
  <conditionalFormatting sqref="AD22:AD32">
    <cfRule type="cellIs" dxfId="102" priority="27" operator="lessThan">
      <formula>0</formula>
    </cfRule>
  </conditionalFormatting>
  <conditionalFormatting sqref="Z18:AD18">
    <cfRule type="cellIs" dxfId="101" priority="19" operator="equal">
      <formula>""</formula>
    </cfRule>
    <cfRule type="cellIs" dxfId="100" priority="26" operator="equal">
      <formula>""""""</formula>
    </cfRule>
  </conditionalFormatting>
  <conditionalFormatting sqref="H33:H34">
    <cfRule type="cellIs" dxfId="99" priority="25" operator="equal">
      <formula>"Remise accordée sur loyer"</formula>
    </cfRule>
  </conditionalFormatting>
  <conditionalFormatting sqref="B33:B35">
    <cfRule type="cellIs" dxfId="98" priority="24" operator="equal">
      <formula>"Remise accordée sur loyer"</formula>
    </cfRule>
  </conditionalFormatting>
  <conditionalFormatting sqref="N33:N35">
    <cfRule type="cellIs" dxfId="97" priority="23" operator="equal">
      <formula>"Remise accordée sur loyer"</formula>
    </cfRule>
  </conditionalFormatting>
  <conditionalFormatting sqref="T33:T35">
    <cfRule type="cellIs" dxfId="96" priority="22" operator="equal">
      <formula>"Remise accordée sur loyer"</formula>
    </cfRule>
  </conditionalFormatting>
  <conditionalFormatting sqref="Z33:Z35">
    <cfRule type="cellIs" dxfId="95" priority="21" operator="equal">
      <formula>"Remise accordée sur loyer"</formula>
    </cfRule>
  </conditionalFormatting>
  <conditionalFormatting sqref="I15">
    <cfRule type="cellIs" dxfId="94" priority="20" operator="equal">
      <formula>"logement vacant"</formula>
    </cfRule>
  </conditionalFormatting>
  <conditionalFormatting sqref="Z19">
    <cfRule type="cellIs" dxfId="93" priority="18" operator="equal">
      <formula>""</formula>
    </cfRule>
  </conditionalFormatting>
  <conditionalFormatting sqref="AA19:AD19">
    <cfRule type="cellIs" dxfId="92" priority="17" operator="equal">
      <formula>""</formula>
    </cfRule>
  </conditionalFormatting>
  <conditionalFormatting sqref="Z37 Z21:AD32">
    <cfRule type="cellIs" dxfId="91" priority="16" operator="equal">
      <formula>""</formula>
    </cfRule>
  </conditionalFormatting>
  <conditionalFormatting sqref="Z21:AD32">
    <cfRule type="expression" dxfId="90" priority="15">
      <formula>"si($Z$18="")"</formula>
    </cfRule>
  </conditionalFormatting>
  <conditionalFormatting sqref="AA21">
    <cfRule type="cellIs" dxfId="89" priority="14" operator="equal">
      <formula>""</formula>
    </cfRule>
  </conditionalFormatting>
  <conditionalFormatting sqref="Z22:AD32">
    <cfRule type="cellIs" dxfId="88" priority="13" operator="equal">
      <formula>"**"</formula>
    </cfRule>
  </conditionalFormatting>
  <conditionalFormatting sqref="AA22:AD32">
    <cfRule type="cellIs" dxfId="87" priority="12" operator="equal">
      <formula>"**"</formula>
    </cfRule>
  </conditionalFormatting>
  <conditionalFormatting sqref="AA22:AA32">
    <cfRule type="cellIs" dxfId="86" priority="11" operator="equal">
      <formula>"**"</formula>
    </cfRule>
  </conditionalFormatting>
  <conditionalFormatting sqref="AA22:AA32">
    <cfRule type="cellIs" dxfId="85" priority="10" operator="equal">
      <formula>"**"</formula>
    </cfRule>
  </conditionalFormatting>
  <conditionalFormatting sqref="AA22:AA32">
    <cfRule type="cellIs" dxfId="84" priority="9" operator="equal">
      <formula>""</formula>
    </cfRule>
  </conditionalFormatting>
  <conditionalFormatting sqref="AB21">
    <cfRule type="cellIs" dxfId="83" priority="8" operator="equal">
      <formula>""</formula>
    </cfRule>
  </conditionalFormatting>
  <conditionalFormatting sqref="AB22:AB32">
    <cfRule type="cellIs" dxfId="82" priority="7" operator="equal">
      <formula>""</formula>
    </cfRule>
  </conditionalFormatting>
  <conditionalFormatting sqref="AC21:AD32">
    <cfRule type="cellIs" dxfId="81" priority="6" operator="equal">
      <formula>""</formula>
    </cfRule>
  </conditionalFormatting>
  <conditionalFormatting sqref="AA22:AA32">
    <cfRule type="cellIs" dxfId="80" priority="5" operator="equal">
      <formula>""</formula>
    </cfRule>
  </conditionalFormatting>
  <conditionalFormatting sqref="AB21:AD21">
    <cfRule type="cellIs" dxfId="79" priority="4" operator="equal">
      <formula>""</formula>
    </cfRule>
  </conditionalFormatting>
  <conditionalFormatting sqref="AD22:AD32">
    <cfRule type="cellIs" dxfId="78" priority="3" operator="lessThan">
      <formula>0</formula>
    </cfRule>
  </conditionalFormatting>
  <conditionalFormatting sqref="AB22:AB32">
    <cfRule type="cellIs" dxfId="77" priority="2" operator="equal">
      <formula>""</formula>
    </cfRule>
  </conditionalFormatting>
  <conditionalFormatting sqref="AB22:AD32">
    <cfRule type="cellIs" dxfId="76" priority="1" operator="equal">
      <formula>""</formula>
    </cfRule>
  </conditionalFormatting>
  <pageMargins left="7.874015748031496E-2" right="7.874015748031496E-2" top="0.19685039370078741" bottom="0.19685039370078741" header="0.31496062992125984" footer="0.31496062992125984"/>
  <pageSetup paperSize="9"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5"/>
  <dimension ref="A1:AB35"/>
  <sheetViews>
    <sheetView workbookViewId="0">
      <selection activeCell="N25" sqref="N25"/>
    </sheetView>
  </sheetViews>
  <sheetFormatPr baseColWidth="10" defaultRowHeight="12.75"/>
  <cols>
    <col min="1" max="1" width="9.85546875" style="509" customWidth="1"/>
    <col min="2" max="2" width="4.85546875" style="509" customWidth="1"/>
    <col min="3" max="3" width="4" style="509" customWidth="1"/>
    <col min="4" max="4" width="0.140625" style="509" customWidth="1"/>
    <col min="5" max="5" width="4.140625" style="509" customWidth="1"/>
    <col min="6" max="6" width="6" style="509" customWidth="1"/>
    <col min="7" max="7" width="5.28515625" style="509" customWidth="1"/>
    <col min="8" max="8" width="4" style="509" customWidth="1"/>
    <col min="9" max="9" width="5.28515625" style="509" customWidth="1"/>
    <col min="10" max="10" width="4.28515625" style="509" customWidth="1"/>
    <col min="11" max="12" width="5.28515625" style="509" customWidth="1"/>
    <col min="13" max="13" width="4" style="509" customWidth="1"/>
    <col min="14" max="14" width="4.28515625" style="509" customWidth="1"/>
    <col min="15" max="16" width="5.28515625" style="509" customWidth="1"/>
    <col min="17" max="17" width="1.42578125" style="509" customWidth="1"/>
    <col min="18" max="18" width="5.28515625" style="509" customWidth="1"/>
    <col min="19" max="19" width="4" style="509" customWidth="1"/>
    <col min="20" max="20" width="4.28515625" style="509" customWidth="1"/>
    <col min="21" max="22" width="5.28515625" style="509" customWidth="1"/>
    <col min="23" max="23" width="1.140625" style="509" customWidth="1"/>
    <col min="24" max="24" width="5.28515625" style="509" customWidth="1"/>
    <col min="25" max="25" width="4" style="509" customWidth="1"/>
    <col min="26" max="26" width="4.28515625" style="509" customWidth="1"/>
    <col min="27" max="28" width="5.28515625" style="509" customWidth="1"/>
    <col min="29" max="16384" width="11.42578125" style="509"/>
  </cols>
  <sheetData>
    <row r="1" spans="1:28" s="567" customFormat="1" ht="27.75" customHeight="1">
      <c r="B1" s="700" t="s">
        <v>800</v>
      </c>
      <c r="C1" s="701"/>
      <c r="D1" s="702"/>
      <c r="E1" s="702"/>
      <c r="F1" s="702"/>
      <c r="G1" s="702"/>
      <c r="H1" s="702"/>
      <c r="I1" s="702"/>
      <c r="J1" s="702"/>
      <c r="K1" s="702"/>
      <c r="L1" s="702"/>
      <c r="M1" s="702"/>
      <c r="N1" s="702"/>
      <c r="O1" s="702"/>
      <c r="P1" s="702"/>
      <c r="Q1" s="703"/>
    </row>
    <row r="2" spans="1:28" s="567" customFormat="1" ht="27.75" customHeight="1">
      <c r="B2" s="277"/>
      <c r="C2" s="277"/>
      <c r="D2" s="242"/>
      <c r="E2" s="242"/>
      <c r="F2" s="572" t="s">
        <v>798</v>
      </c>
      <c r="G2" s="242"/>
      <c r="H2" s="242"/>
      <c r="I2" s="242"/>
      <c r="J2" s="242"/>
    </row>
    <row r="3" spans="1:28" ht="15" customHeight="1">
      <c r="A3" s="724" t="s">
        <v>399</v>
      </c>
      <c r="B3" s="725"/>
    </row>
    <row r="4" spans="1:28" ht="15">
      <c r="A4" s="274" t="s">
        <v>73</v>
      </c>
      <c r="B4" s="718" t="str">
        <f>prop_nom</f>
        <v>Mr dubosq</v>
      </c>
      <c r="C4" s="718"/>
      <c r="D4" s="699"/>
      <c r="E4" s="699"/>
      <c r="F4" s="699"/>
      <c r="G4" s="699"/>
      <c r="H4" s="699"/>
      <c r="I4" s="699"/>
      <c r="J4" s="699"/>
      <c r="K4" s="699"/>
      <c r="L4" s="244"/>
      <c r="M4" s="244"/>
      <c r="N4" s="244"/>
      <c r="O4" s="244"/>
      <c r="P4" s="244"/>
      <c r="Q4" s="244"/>
      <c r="R4" s="244"/>
      <c r="S4" s="244"/>
      <c r="T4" s="244"/>
      <c r="U4" s="244"/>
      <c r="V4" s="244"/>
      <c r="W4" s="244"/>
      <c r="X4" s="244"/>
      <c r="Y4" s="244"/>
      <c r="Z4" s="244"/>
      <c r="AA4" s="244"/>
      <c r="AB4" s="245"/>
    </row>
    <row r="5" spans="1:28">
      <c r="A5" s="275"/>
      <c r="B5" s="30"/>
      <c r="C5" s="30"/>
      <c r="D5" s="30"/>
      <c r="E5" s="30"/>
      <c r="F5" s="30"/>
      <c r="G5" s="30"/>
      <c r="H5" s="30"/>
      <c r="I5" s="30"/>
      <c r="J5" s="30"/>
      <c r="K5" s="30"/>
      <c r="L5" s="30"/>
      <c r="M5" s="30"/>
      <c r="N5" s="30"/>
      <c r="O5" s="30"/>
      <c r="P5" s="30"/>
      <c r="Q5" s="30"/>
      <c r="R5" s="30"/>
      <c r="S5" s="30"/>
      <c r="T5" s="30"/>
      <c r="U5" s="30"/>
      <c r="V5" s="30"/>
      <c r="W5" s="30"/>
      <c r="X5" s="30"/>
      <c r="Y5" s="30"/>
      <c r="Z5" s="30"/>
      <c r="AA5" s="30"/>
      <c r="AB5" s="246"/>
    </row>
    <row r="6" spans="1:28">
      <c r="A6" s="275" t="s">
        <v>34</v>
      </c>
      <c r="B6" s="689" t="str">
        <f>prop_adr</f>
        <v>6 rue des aules</v>
      </c>
      <c r="C6" s="690"/>
      <c r="D6" s="690"/>
      <c r="E6" s="690"/>
      <c r="F6" s="690"/>
      <c r="G6" s="690"/>
      <c r="H6" s="690"/>
      <c r="I6" s="690"/>
      <c r="J6" s="690" t="str">
        <f>prop_adr1</f>
        <v/>
      </c>
      <c r="K6" s="690"/>
      <c r="L6" s="690"/>
      <c r="M6" s="690"/>
      <c r="N6" s="690"/>
      <c r="O6" s="690"/>
      <c r="P6" s="571" t="s">
        <v>398</v>
      </c>
      <c r="Q6" s="568"/>
      <c r="R6" s="568">
        <f>prop_cp</f>
        <v>75960</v>
      </c>
      <c r="S6" s="30"/>
      <c r="T6" s="30" t="s">
        <v>400</v>
      </c>
      <c r="U6" s="690" t="str">
        <f>prop_ville</f>
        <v>tataouine</v>
      </c>
      <c r="V6" s="690"/>
      <c r="W6" s="690"/>
      <c r="X6" s="690"/>
      <c r="Y6" s="690"/>
      <c r="Z6" s="690"/>
      <c r="AA6" s="690"/>
      <c r="AB6" s="653"/>
    </row>
    <row r="7" spans="1:28">
      <c r="A7" s="287" t="s">
        <v>105</v>
      </c>
      <c r="B7" s="30"/>
      <c r="C7" s="569" t="s">
        <v>244</v>
      </c>
      <c r="D7" s="689" t="str">
        <f>prop_tel</f>
        <v>01 02 03 04 05</v>
      </c>
      <c r="E7" s="690"/>
      <c r="F7" s="690"/>
      <c r="G7" s="30"/>
      <c r="H7" s="694" t="s">
        <v>245</v>
      </c>
      <c r="I7" s="690"/>
      <c r="J7" s="690" t="str">
        <f>prop_portable</f>
        <v>06 07 06 07 06</v>
      </c>
      <c r="K7" s="690"/>
      <c r="L7" s="690"/>
      <c r="M7" s="30"/>
      <c r="N7" s="30"/>
      <c r="O7" s="30"/>
      <c r="P7" s="30"/>
      <c r="Q7" s="30"/>
      <c r="R7" s="30"/>
      <c r="S7" s="30"/>
      <c r="T7" s="30"/>
      <c r="U7" s="30"/>
      <c r="V7" s="30"/>
      <c r="W7" s="30"/>
      <c r="X7" s="30"/>
      <c r="Y7" s="30"/>
      <c r="Z7" s="30"/>
      <c r="AA7" s="30"/>
      <c r="AB7" s="246"/>
    </row>
    <row r="8" spans="1:28">
      <c r="A8" s="276" t="s">
        <v>107</v>
      </c>
      <c r="B8" s="695" t="str">
        <f>prop_mail</f>
        <v>demo38@gmail.com</v>
      </c>
      <c r="C8" s="696"/>
      <c r="D8" s="696"/>
      <c r="E8" s="696"/>
      <c r="F8" s="696"/>
      <c r="G8" s="696"/>
      <c r="H8" s="696"/>
      <c r="I8" s="696"/>
      <c r="J8" s="696"/>
      <c r="K8" s="696"/>
      <c r="L8" s="247"/>
      <c r="M8" s="247"/>
      <c r="N8" s="247"/>
      <c r="O8" s="247"/>
      <c r="P8" s="247"/>
      <c r="Q8" s="247"/>
      <c r="R8" s="247"/>
      <c r="S8" s="247"/>
      <c r="T8" s="247"/>
      <c r="U8" s="247"/>
      <c r="V8" s="247"/>
      <c r="W8" s="247"/>
      <c r="X8" s="247"/>
      <c r="Y8" s="247"/>
      <c r="Z8" s="247"/>
      <c r="AA8" s="247"/>
      <c r="AB8" s="248"/>
    </row>
    <row r="9" spans="1:28">
      <c r="A9" s="30" t="s">
        <v>25</v>
      </c>
      <c r="B9" s="30"/>
      <c r="C9" s="30"/>
      <c r="D9" s="30"/>
      <c r="E9" s="30"/>
      <c r="F9" s="30"/>
      <c r="G9" s="30"/>
      <c r="H9" s="30"/>
      <c r="I9" s="30"/>
      <c r="K9" s="18"/>
    </row>
    <row r="10" spans="1:28">
      <c r="A10" s="282" t="s">
        <v>397</v>
      </c>
      <c r="B10" s="30"/>
      <c r="C10" s="30"/>
      <c r="D10" s="30"/>
      <c r="E10" s="30"/>
      <c r="F10" s="30"/>
      <c r="G10" s="30"/>
      <c r="H10" s="30"/>
      <c r="I10" s="30"/>
      <c r="K10" s="18"/>
      <c r="O10" s="247"/>
      <c r="P10" s="247"/>
      <c r="Q10" s="247"/>
      <c r="R10" s="247"/>
      <c r="S10" s="247"/>
      <c r="T10" s="247"/>
    </row>
    <row r="11" spans="1:28" ht="39">
      <c r="A11" s="350"/>
      <c r="B11" s="244"/>
      <c r="C11" s="244"/>
      <c r="D11" s="244"/>
      <c r="E11" s="565" t="s">
        <v>9</v>
      </c>
      <c r="F11" s="565" t="s">
        <v>65</v>
      </c>
      <c r="G11" s="244"/>
      <c r="H11" s="697" t="s">
        <v>661</v>
      </c>
      <c r="I11" s="698"/>
      <c r="J11" s="698"/>
      <c r="K11" s="698"/>
      <c r="L11" s="699"/>
      <c r="M11" s="244"/>
      <c r="N11" s="244"/>
      <c r="O11" s="721" t="s">
        <v>489</v>
      </c>
      <c r="P11" s="722"/>
      <c r="Q11" s="722"/>
      <c r="R11" s="722"/>
      <c r="S11" s="722"/>
      <c r="T11" s="723"/>
      <c r="U11" s="541"/>
      <c r="V11" s="244"/>
      <c r="W11" s="244"/>
      <c r="X11" s="244"/>
      <c r="Y11" s="244"/>
      <c r="Z11" s="244"/>
      <c r="AA11" s="244"/>
      <c r="AB11" s="245"/>
    </row>
    <row r="12" spans="1:28">
      <c r="A12" s="708" t="str">
        <f>IF(appt_1&lt;&gt;"En attente",appt_1,"")</f>
        <v>Le_carrare</v>
      </c>
      <c r="B12" s="709"/>
      <c r="C12" s="709"/>
      <c r="D12" s="30"/>
      <c r="E12" s="333" t="str">
        <f>appt_loy_1</f>
        <v>290</v>
      </c>
      <c r="F12" s="333" t="str">
        <f>appt_charg_1</f>
        <v>50</v>
      </c>
      <c r="G12" s="30"/>
      <c r="H12" s="690" t="s">
        <v>112</v>
      </c>
      <c r="I12" s="690"/>
      <c r="J12" s="690"/>
      <c r="K12" s="690"/>
      <c r="L12" s="652"/>
      <c r="M12" s="30"/>
      <c r="N12" s="30"/>
      <c r="O12" s="568" t="s">
        <v>112</v>
      </c>
      <c r="P12" s="30"/>
      <c r="Q12" s="30"/>
      <c r="S12" s="30"/>
      <c r="T12" s="30"/>
      <c r="U12" s="30"/>
      <c r="V12" s="30"/>
      <c r="W12" s="30"/>
      <c r="X12" s="30"/>
      <c r="Y12" s="30"/>
      <c r="Z12" s="30"/>
      <c r="AA12" s="30"/>
      <c r="AB12" s="246"/>
    </row>
    <row r="13" spans="1:28" ht="12.75" customHeight="1">
      <c r="A13" s="710" t="str">
        <f>IF(appt_2&lt;&gt;"En attente",appt_2,"")</f>
        <v/>
      </c>
      <c r="B13" s="711"/>
      <c r="C13" s="711"/>
      <c r="D13" s="30"/>
      <c r="E13" s="333" t="str">
        <f>appt_loy_2</f>
        <v/>
      </c>
      <c r="F13" s="333" t="str">
        <f>appt_charg_2</f>
        <v/>
      </c>
      <c r="G13" s="30"/>
      <c r="H13" s="690" t="s">
        <v>507</v>
      </c>
      <c r="I13" s="690"/>
      <c r="J13" s="690"/>
      <c r="K13" s="690"/>
      <c r="L13" s="652"/>
      <c r="M13" s="30"/>
      <c r="N13" s="30"/>
      <c r="O13" s="568" t="s">
        <v>507</v>
      </c>
      <c r="P13" s="30"/>
      <c r="Q13" s="30"/>
      <c r="S13" s="30"/>
      <c r="T13" s="30"/>
      <c r="U13" s="30"/>
      <c r="V13" s="30"/>
      <c r="W13" s="30"/>
      <c r="X13" s="30"/>
      <c r="Y13" s="30"/>
      <c r="Z13" s="30"/>
      <c r="AA13" s="30"/>
      <c r="AB13" s="246"/>
    </row>
    <row r="14" spans="1:28">
      <c r="A14" s="712" t="str">
        <f>IF(appt_3&lt;&gt;"En attente",appt_3,"")</f>
        <v/>
      </c>
      <c r="B14" s="713"/>
      <c r="C14" s="713"/>
      <c r="D14" s="30"/>
      <c r="E14" s="344" t="str">
        <f>IF(A14&lt;&gt;"",appt_loy_3,"")</f>
        <v/>
      </c>
      <c r="F14" s="333" t="str">
        <f>appt_charg_3</f>
        <v/>
      </c>
      <c r="G14" s="30"/>
      <c r="H14" s="690" t="s">
        <v>520</v>
      </c>
      <c r="I14" s="690"/>
      <c r="J14" s="690"/>
      <c r="K14" s="690"/>
      <c r="L14" s="652"/>
      <c r="M14" s="30"/>
      <c r="N14" s="30"/>
      <c r="O14" s="568" t="s">
        <v>520</v>
      </c>
      <c r="P14" s="30"/>
      <c r="Q14" s="30"/>
      <c r="S14" s="30"/>
      <c r="T14" s="30"/>
      <c r="U14" s="30"/>
      <c r="V14" s="30"/>
      <c r="W14" s="30"/>
      <c r="X14" s="30"/>
      <c r="Y14" s="30"/>
      <c r="Z14" s="30"/>
      <c r="AA14" s="30"/>
      <c r="AB14" s="246"/>
    </row>
    <row r="15" spans="1:28">
      <c r="A15" s="714" t="str">
        <f>IF(appt_4&lt;&gt;"En attente",appt_4,"")</f>
        <v/>
      </c>
      <c r="B15" s="715"/>
      <c r="C15" s="715"/>
      <c r="D15" s="30"/>
      <c r="E15" s="344" t="str">
        <f>IF(A15&lt;&gt;"",appt_loy_4,"")</f>
        <v/>
      </c>
      <c r="F15" s="333" t="str">
        <f>appt_charg_4</f>
        <v/>
      </c>
      <c r="G15" s="30"/>
      <c r="H15" s="690" t="s">
        <v>490</v>
      </c>
      <c r="I15" s="652"/>
      <c r="J15" s="652"/>
      <c r="K15" s="652"/>
      <c r="L15" s="652"/>
      <c r="M15" s="30"/>
      <c r="N15" s="30"/>
      <c r="O15" s="568" t="s">
        <v>490</v>
      </c>
      <c r="P15" s="30"/>
      <c r="Q15" s="30"/>
      <c r="S15" s="30"/>
      <c r="T15" s="30"/>
      <c r="U15" s="30"/>
      <c r="V15" s="30"/>
      <c r="W15" s="30"/>
      <c r="X15" s="30"/>
      <c r="Y15" s="30"/>
      <c r="Z15" s="30"/>
      <c r="AA15" s="30"/>
      <c r="AB15" s="246"/>
    </row>
    <row r="16" spans="1:28">
      <c r="A16" s="716" t="str">
        <f>IF(appt_5&lt;&gt;"En attente",appt_5,"")</f>
        <v/>
      </c>
      <c r="B16" s="717"/>
      <c r="C16" s="717"/>
      <c r="D16" s="247"/>
      <c r="E16" s="351" t="str">
        <f>IF(A16&lt;&gt;"",appt_loy_5,"")</f>
        <v/>
      </c>
      <c r="F16" s="351" t="str">
        <f>IF(A16&lt;&gt;"",appt_charg_5,"")</f>
        <v/>
      </c>
      <c r="G16" s="247"/>
      <c r="H16" s="696"/>
      <c r="I16" s="696"/>
      <c r="J16" s="696"/>
      <c r="K16" s="696"/>
      <c r="L16" s="247"/>
      <c r="M16" s="247"/>
      <c r="N16" s="247"/>
      <c r="O16" s="247"/>
      <c r="P16" s="247"/>
      <c r="Q16" s="247"/>
      <c r="R16" s="570"/>
      <c r="S16" s="247"/>
      <c r="T16" s="247"/>
      <c r="U16" s="247"/>
      <c r="V16" s="247"/>
      <c r="W16" s="247"/>
      <c r="X16" s="247"/>
      <c r="Y16" s="247"/>
      <c r="Z16" s="247"/>
      <c r="AA16" s="247"/>
      <c r="AB16" s="248"/>
    </row>
    <row r="17" spans="1:28">
      <c r="A17" s="30"/>
      <c r="B17" s="30"/>
      <c r="C17" s="30"/>
      <c r="D17" s="30"/>
      <c r="E17" s="30"/>
      <c r="F17" s="30"/>
      <c r="G17" s="30"/>
      <c r="H17" s="30"/>
      <c r="I17" s="30"/>
      <c r="K17" s="18"/>
    </row>
    <row r="18" spans="1:28" customFormat="1"/>
    <row r="19" spans="1:28" customFormat="1" ht="15.75" customHeight="1"/>
    <row r="20" spans="1:28">
      <c r="B20" s="727" t="s">
        <v>799</v>
      </c>
      <c r="C20" s="728"/>
      <c r="D20" s="13"/>
      <c r="E20" s="727" t="s">
        <v>801</v>
      </c>
      <c r="F20" s="728"/>
      <c r="G20" s="727" t="s">
        <v>803</v>
      </c>
      <c r="H20" s="728"/>
      <c r="I20" s="727" t="s">
        <v>802</v>
      </c>
      <c r="J20" s="728"/>
      <c r="K20"/>
      <c r="L20"/>
      <c r="M20"/>
      <c r="N20"/>
      <c r="O20"/>
      <c r="P20"/>
      <c r="Q20"/>
      <c r="R20"/>
      <c r="S20"/>
      <c r="T20"/>
      <c r="U20"/>
      <c r="V20"/>
      <c r="W20"/>
      <c r="X20"/>
      <c r="Y20"/>
      <c r="Z20"/>
      <c r="AA20"/>
      <c r="AB20"/>
    </row>
    <row r="21" spans="1:28">
      <c r="A21" s="61">
        <v>2009</v>
      </c>
      <c r="B21" s="726"/>
      <c r="C21" s="723"/>
      <c r="D21" s="341"/>
      <c r="E21" s="726"/>
      <c r="F21" s="723"/>
      <c r="G21" s="726"/>
      <c r="H21" s="723"/>
      <c r="I21" s="726"/>
      <c r="J21" s="723"/>
      <c r="K21"/>
      <c r="L21"/>
      <c r="M21"/>
      <c r="N21"/>
      <c r="O21"/>
      <c r="P21"/>
      <c r="Q21"/>
      <c r="R21"/>
      <c r="S21"/>
      <c r="T21"/>
      <c r="U21"/>
      <c r="V21"/>
      <c r="W21"/>
      <c r="X21"/>
      <c r="Y21"/>
      <c r="Z21"/>
      <c r="AA21"/>
      <c r="AB21"/>
    </row>
    <row r="22" spans="1:28">
      <c r="A22" s="61">
        <f>A21+1</f>
        <v>2010</v>
      </c>
      <c r="B22" s="726"/>
      <c r="C22" s="723"/>
      <c r="D22" s="341"/>
      <c r="E22" s="726"/>
      <c r="F22" s="723"/>
      <c r="G22" s="726"/>
      <c r="H22" s="723"/>
      <c r="I22" s="726"/>
      <c r="J22" s="723"/>
      <c r="K22"/>
      <c r="L22"/>
      <c r="M22"/>
      <c r="N22"/>
      <c r="O22"/>
      <c r="P22"/>
      <c r="Q22"/>
      <c r="R22"/>
      <c r="S22"/>
      <c r="T22"/>
      <c r="U22"/>
      <c r="V22"/>
      <c r="W22"/>
      <c r="X22"/>
      <c r="Y22"/>
      <c r="Z22"/>
      <c r="AA22"/>
      <c r="AB22"/>
    </row>
    <row r="23" spans="1:28">
      <c r="A23" s="61">
        <f t="shared" ref="A23:A33" si="0">A22+1</f>
        <v>2011</v>
      </c>
      <c r="B23" s="726"/>
      <c r="C23" s="723"/>
      <c r="D23" s="341"/>
      <c r="E23" s="726"/>
      <c r="F23" s="723"/>
      <c r="G23" s="726"/>
      <c r="H23" s="723"/>
      <c r="I23" s="726"/>
      <c r="J23" s="723"/>
      <c r="K23"/>
      <c r="L23"/>
      <c r="M23"/>
      <c r="N23"/>
      <c r="O23"/>
      <c r="P23"/>
      <c r="Q23"/>
      <c r="R23"/>
      <c r="S23"/>
      <c r="T23"/>
      <c r="U23"/>
      <c r="V23"/>
      <c r="W23"/>
      <c r="X23"/>
      <c r="Y23"/>
      <c r="Z23"/>
      <c r="AA23"/>
      <c r="AB23"/>
    </row>
    <row r="24" spans="1:28">
      <c r="A24" s="61">
        <f t="shared" si="0"/>
        <v>2012</v>
      </c>
      <c r="B24" s="726"/>
      <c r="C24" s="723"/>
      <c r="D24" s="341"/>
      <c r="E24" s="726"/>
      <c r="F24" s="723"/>
      <c r="G24" s="726"/>
      <c r="H24" s="723"/>
      <c r="I24" s="726"/>
      <c r="J24" s="723"/>
      <c r="K24"/>
      <c r="L24"/>
      <c r="M24"/>
      <c r="N24"/>
      <c r="O24"/>
      <c r="P24"/>
      <c r="Q24"/>
      <c r="R24"/>
      <c r="S24"/>
      <c r="T24"/>
      <c r="U24"/>
      <c r="V24"/>
      <c r="W24"/>
      <c r="X24"/>
      <c r="Y24"/>
      <c r="Z24"/>
      <c r="AA24"/>
      <c r="AB24"/>
    </row>
    <row r="25" spans="1:28">
      <c r="A25" s="61">
        <f t="shared" si="0"/>
        <v>2013</v>
      </c>
      <c r="B25" s="726"/>
      <c r="C25" s="723"/>
      <c r="D25" s="341"/>
      <c r="E25" s="726"/>
      <c r="F25" s="723"/>
      <c r="G25" s="726"/>
      <c r="H25" s="723"/>
      <c r="I25" s="726"/>
      <c r="J25" s="723"/>
      <c r="K25"/>
      <c r="L25"/>
      <c r="M25"/>
      <c r="N25"/>
      <c r="O25"/>
      <c r="P25"/>
      <c r="Q25"/>
      <c r="R25"/>
      <c r="S25"/>
      <c r="T25"/>
      <c r="U25"/>
      <c r="V25"/>
      <c r="W25"/>
      <c r="X25"/>
      <c r="Y25"/>
      <c r="Z25"/>
      <c r="AA25"/>
      <c r="AB25"/>
    </row>
    <row r="26" spans="1:28">
      <c r="A26" s="61">
        <f t="shared" si="0"/>
        <v>2014</v>
      </c>
      <c r="B26" s="726"/>
      <c r="C26" s="723"/>
      <c r="D26" s="341"/>
      <c r="E26" s="726"/>
      <c r="F26" s="723"/>
      <c r="G26" s="726"/>
      <c r="H26" s="723"/>
      <c r="I26" s="726"/>
      <c r="J26" s="723"/>
      <c r="K26"/>
      <c r="L26"/>
      <c r="M26"/>
      <c r="N26"/>
      <c r="O26"/>
      <c r="P26"/>
      <c r="Q26"/>
      <c r="R26"/>
      <c r="S26"/>
      <c r="T26"/>
      <c r="U26"/>
      <c r="V26"/>
      <c r="W26"/>
      <c r="X26"/>
      <c r="Y26"/>
      <c r="Z26"/>
      <c r="AA26"/>
      <c r="AB26"/>
    </row>
    <row r="27" spans="1:28">
      <c r="A27" s="61">
        <f t="shared" si="0"/>
        <v>2015</v>
      </c>
      <c r="B27" s="726"/>
      <c r="C27" s="723"/>
      <c r="D27" s="341"/>
      <c r="E27" s="726"/>
      <c r="F27" s="723"/>
      <c r="G27" s="726"/>
      <c r="H27" s="723"/>
      <c r="I27" s="726"/>
      <c r="J27" s="723"/>
      <c r="K27"/>
      <c r="L27"/>
      <c r="M27"/>
      <c r="N27"/>
      <c r="O27"/>
      <c r="P27"/>
      <c r="Q27"/>
      <c r="R27"/>
      <c r="S27"/>
      <c r="T27"/>
      <c r="U27"/>
      <c r="V27"/>
      <c r="W27"/>
      <c r="X27"/>
      <c r="Y27"/>
      <c r="Z27"/>
      <c r="AA27"/>
      <c r="AB27"/>
    </row>
    <row r="28" spans="1:28">
      <c r="A28" s="61">
        <f t="shared" si="0"/>
        <v>2016</v>
      </c>
      <c r="B28" s="726"/>
      <c r="C28" s="723"/>
      <c r="D28" s="341"/>
      <c r="E28" s="726"/>
      <c r="F28" s="723"/>
      <c r="G28" s="726"/>
      <c r="H28" s="723"/>
      <c r="I28" s="726"/>
      <c r="J28" s="723"/>
      <c r="K28"/>
      <c r="L28"/>
      <c r="M28"/>
      <c r="N28"/>
      <c r="O28"/>
      <c r="P28"/>
      <c r="Q28"/>
      <c r="R28"/>
      <c r="S28"/>
      <c r="T28"/>
      <c r="U28"/>
      <c r="V28"/>
      <c r="W28"/>
      <c r="X28"/>
      <c r="Y28"/>
      <c r="Z28"/>
      <c r="AA28"/>
      <c r="AB28"/>
    </row>
    <row r="29" spans="1:28">
      <c r="A29" s="61">
        <f t="shared" si="0"/>
        <v>2017</v>
      </c>
      <c r="B29" s="726"/>
      <c r="C29" s="723"/>
      <c r="D29" s="341"/>
      <c r="E29" s="726"/>
      <c r="F29" s="723"/>
      <c r="G29" s="726"/>
      <c r="H29" s="723"/>
      <c r="I29" s="726"/>
      <c r="J29" s="723"/>
      <c r="K29"/>
      <c r="L29"/>
      <c r="M29"/>
      <c r="N29"/>
      <c r="O29"/>
      <c r="P29"/>
      <c r="Q29"/>
      <c r="R29"/>
      <c r="S29"/>
      <c r="T29"/>
      <c r="U29"/>
      <c r="V29"/>
      <c r="W29"/>
      <c r="X29"/>
      <c r="Y29"/>
      <c r="Z29"/>
      <c r="AA29"/>
      <c r="AB29"/>
    </row>
    <row r="30" spans="1:28">
      <c r="A30" s="61">
        <f t="shared" si="0"/>
        <v>2018</v>
      </c>
      <c r="B30" s="726"/>
      <c r="C30" s="723"/>
      <c r="D30" s="341"/>
      <c r="E30" s="726"/>
      <c r="F30" s="723"/>
      <c r="G30" s="726"/>
      <c r="H30" s="723"/>
      <c r="I30" s="726"/>
      <c r="J30" s="723"/>
      <c r="K30"/>
      <c r="L30"/>
      <c r="M30"/>
      <c r="N30"/>
      <c r="O30"/>
      <c r="P30"/>
      <c r="Q30"/>
      <c r="R30"/>
      <c r="S30"/>
      <c r="T30"/>
      <c r="U30"/>
      <c r="V30"/>
      <c r="W30"/>
      <c r="X30"/>
      <c r="Y30"/>
      <c r="Z30"/>
      <c r="AA30"/>
      <c r="AB30"/>
    </row>
    <row r="31" spans="1:28">
      <c r="A31" s="61">
        <f t="shared" si="0"/>
        <v>2019</v>
      </c>
      <c r="B31" s="726"/>
      <c r="C31" s="723"/>
      <c r="D31" s="341"/>
      <c r="E31" s="726"/>
      <c r="F31" s="723"/>
      <c r="G31" s="726"/>
      <c r="H31" s="723"/>
      <c r="I31" s="726"/>
      <c r="J31" s="723"/>
      <c r="K31"/>
      <c r="L31"/>
      <c r="M31"/>
      <c r="N31"/>
      <c r="O31"/>
      <c r="P31"/>
      <c r="Q31"/>
      <c r="R31"/>
      <c r="S31"/>
      <c r="T31"/>
      <c r="U31"/>
      <c r="V31"/>
      <c r="W31"/>
      <c r="X31"/>
      <c r="Y31"/>
      <c r="Z31"/>
      <c r="AA31"/>
      <c r="AB31"/>
    </row>
    <row r="32" spans="1:28">
      <c r="A32" s="61">
        <f t="shared" si="0"/>
        <v>2020</v>
      </c>
      <c r="B32" s="726"/>
      <c r="C32" s="723"/>
      <c r="D32" s="341"/>
      <c r="E32" s="726"/>
      <c r="F32" s="723"/>
      <c r="G32" s="726"/>
      <c r="H32" s="723"/>
      <c r="I32" s="726"/>
      <c r="J32" s="723"/>
      <c r="K32"/>
      <c r="L32"/>
      <c r="M32"/>
      <c r="N32"/>
      <c r="O32"/>
      <c r="P32"/>
      <c r="Q32"/>
      <c r="R32"/>
      <c r="S32"/>
      <c r="T32"/>
      <c r="U32"/>
      <c r="V32"/>
      <c r="W32"/>
      <c r="X32"/>
      <c r="Y32"/>
      <c r="Z32"/>
      <c r="AA32"/>
      <c r="AB32"/>
    </row>
    <row r="33" spans="1:28">
      <c r="A33" s="61">
        <f t="shared" si="0"/>
        <v>2021</v>
      </c>
      <c r="B33" s="65"/>
      <c r="F33" s="564"/>
      <c r="G33" s="65"/>
      <c r="K33" s="564"/>
      <c r="L33" s="65"/>
      <c r="P33" s="564"/>
      <c r="R33" s="65"/>
      <c r="X33" s="65"/>
    </row>
    <row r="35" spans="1:28">
      <c r="A35" s="509" t="s">
        <v>663</v>
      </c>
      <c r="B35" s="688">
        <f ca="1">TODAY()</f>
        <v>43335</v>
      </c>
      <c r="C35" s="688"/>
      <c r="D35" s="688"/>
      <c r="E35" s="688"/>
      <c r="F35" s="688"/>
      <c r="X35" s="503" t="str">
        <f>"Logiciel CLOEMA (" &amp; cod_version &amp; ")"</f>
        <v>Logiciel CLOEMA (V202_f)</v>
      </c>
      <c r="AB35" s="65"/>
    </row>
  </sheetData>
  <mergeCells count="75">
    <mergeCell ref="U6:AB6"/>
    <mergeCell ref="O11:T11"/>
    <mergeCell ref="B1:Q1"/>
    <mergeCell ref="A3:B3"/>
    <mergeCell ref="B4:K4"/>
    <mergeCell ref="B6:I6"/>
    <mergeCell ref="J6:O6"/>
    <mergeCell ref="D7:F7"/>
    <mergeCell ref="H7:I7"/>
    <mergeCell ref="J7:L7"/>
    <mergeCell ref="B8:K8"/>
    <mergeCell ref="H11:L11"/>
    <mergeCell ref="A15:C15"/>
    <mergeCell ref="H15:L15"/>
    <mergeCell ref="A16:C16"/>
    <mergeCell ref="H16:K16"/>
    <mergeCell ref="A12:C12"/>
    <mergeCell ref="H12:L12"/>
    <mergeCell ref="A13:C13"/>
    <mergeCell ref="H13:L13"/>
    <mergeCell ref="A14:C14"/>
    <mergeCell ref="H14:L14"/>
    <mergeCell ref="B32:C32"/>
    <mergeCell ref="B35:F35"/>
    <mergeCell ref="B21:C21"/>
    <mergeCell ref="B20:C20"/>
    <mergeCell ref="B22:C22"/>
    <mergeCell ref="B23:C23"/>
    <mergeCell ref="B24:C24"/>
    <mergeCell ref="B25:C25"/>
    <mergeCell ref="B26:C26"/>
    <mergeCell ref="B27:C27"/>
    <mergeCell ref="B28:C28"/>
    <mergeCell ref="B29:C29"/>
    <mergeCell ref="B30:C30"/>
    <mergeCell ref="B31:C31"/>
    <mergeCell ref="E20:F20"/>
    <mergeCell ref="E22:F22"/>
    <mergeCell ref="G20:H20"/>
    <mergeCell ref="I20:J20"/>
    <mergeCell ref="E21:F21"/>
    <mergeCell ref="G21:H21"/>
    <mergeCell ref="I21:J21"/>
    <mergeCell ref="G22:H22"/>
    <mergeCell ref="I22:J22"/>
    <mergeCell ref="E23:F23"/>
    <mergeCell ref="G23:H23"/>
    <mergeCell ref="I23:J23"/>
    <mergeCell ref="E24:F24"/>
    <mergeCell ref="G24:H24"/>
    <mergeCell ref="I24:J24"/>
    <mergeCell ref="E25:F25"/>
    <mergeCell ref="G25:H25"/>
    <mergeCell ref="I25:J25"/>
    <mergeCell ref="E26:F26"/>
    <mergeCell ref="G26:H26"/>
    <mergeCell ref="I26:J26"/>
    <mergeCell ref="E27:F27"/>
    <mergeCell ref="G27:H27"/>
    <mergeCell ref="I27:J27"/>
    <mergeCell ref="E28:F28"/>
    <mergeCell ref="G28:H28"/>
    <mergeCell ref="I28:J28"/>
    <mergeCell ref="E29:F29"/>
    <mergeCell ref="G29:H29"/>
    <mergeCell ref="I29:J29"/>
    <mergeCell ref="E32:F32"/>
    <mergeCell ref="G32:H32"/>
    <mergeCell ref="I32:J32"/>
    <mergeCell ref="E30:F30"/>
    <mergeCell ref="G30:H30"/>
    <mergeCell ref="I30:J30"/>
    <mergeCell ref="E31:F31"/>
    <mergeCell ref="G31:H31"/>
    <mergeCell ref="I31:J31"/>
  </mergeCells>
  <conditionalFormatting sqref="R16 O12:O15">
    <cfRule type="cellIs" dxfId="75" priority="37" operator="equal">
      <formula>"logement vacant"</formula>
    </cfRule>
  </conditionalFormatting>
  <conditionalFormatting sqref="G33">
    <cfRule type="cellIs" dxfId="74" priority="25" operator="equal">
      <formula>"Remise accordée sur loyer"</formula>
    </cfRule>
  </conditionalFormatting>
  <conditionalFormatting sqref="B33">
    <cfRule type="cellIs" dxfId="73" priority="24" operator="equal">
      <formula>"Remise accordée sur loyer"</formula>
    </cfRule>
  </conditionalFormatting>
  <conditionalFormatting sqref="L33">
    <cfRule type="cellIs" dxfId="72" priority="23" operator="equal">
      <formula>"Remise accordée sur loyer"</formula>
    </cfRule>
  </conditionalFormatting>
  <conditionalFormatting sqref="R33">
    <cfRule type="cellIs" dxfId="71" priority="22" operator="equal">
      <formula>"Remise accordée sur loyer"</formula>
    </cfRule>
  </conditionalFormatting>
  <conditionalFormatting sqref="X33">
    <cfRule type="cellIs" dxfId="70" priority="21" operator="equal">
      <formula>"Remise accordée sur loyer"</formula>
    </cfRule>
  </conditionalFormatting>
  <conditionalFormatting sqref="H15">
    <cfRule type="cellIs" dxfId="69" priority="20" operator="equal">
      <formula>"logement vacant"</formula>
    </cfRule>
  </conditionalFormatting>
  <conditionalFormatting sqref="X35">
    <cfRule type="cellIs" dxfId="68" priority="16" operator="equal">
      <formula>""</formula>
    </cfRule>
  </conditionalFormatting>
  <pageMargins left="7.874015748031496E-2" right="7.874015748031496E-2" top="0.19685039370078741" bottom="0.19685039370078741" header="0.31496062992125984" footer="0.31496062992125984"/>
  <pageSetup paperSize="9"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R139"/>
  <sheetViews>
    <sheetView zoomScaleNormal="100" workbookViewId="0">
      <selection activeCell="P32" sqref="P32"/>
    </sheetView>
  </sheetViews>
  <sheetFormatPr baseColWidth="10" defaultRowHeight="12.75"/>
  <cols>
    <col min="1" max="1" width="15" customWidth="1"/>
    <col min="2" max="3" width="6.42578125" customWidth="1"/>
    <col min="4" max="4" width="8.7109375" customWidth="1"/>
    <col min="5" max="5" width="7.85546875" customWidth="1"/>
    <col min="6" max="6" width="4.7109375" customWidth="1"/>
    <col min="7" max="7" width="5.5703125" style="509" customWidth="1"/>
    <col min="8" max="8" width="4.7109375" customWidth="1"/>
    <col min="9" max="9" width="5.5703125" style="509" customWidth="1"/>
    <col min="10" max="10" width="6.7109375" customWidth="1"/>
    <col min="11" max="11" width="13.7109375" customWidth="1"/>
    <col min="12" max="12" width="6.7109375" customWidth="1"/>
    <col min="13" max="13" width="9.42578125" customWidth="1"/>
    <col min="14" max="14" width="7.42578125" customWidth="1"/>
    <col min="15" max="15" width="9.85546875" customWidth="1"/>
  </cols>
  <sheetData>
    <row r="1" spans="1:15" s="8" customFormat="1" ht="27.75" customHeight="1">
      <c r="B1" s="735" t="s">
        <v>234</v>
      </c>
      <c r="C1" s="736"/>
      <c r="D1" s="737"/>
      <c r="E1" s="737"/>
      <c r="F1" s="737"/>
      <c r="G1" s="737"/>
      <c r="H1" s="737"/>
      <c r="I1" s="737"/>
      <c r="J1" s="737"/>
      <c r="K1" s="737"/>
      <c r="L1" s="737"/>
      <c r="M1" s="738"/>
      <c r="N1" s="242"/>
      <c r="O1" s="242"/>
    </row>
    <row r="2" spans="1:15" s="8" customFormat="1" ht="27.75" customHeight="1">
      <c r="B2" s="277"/>
      <c r="C2" s="277"/>
      <c r="D2" s="242"/>
      <c r="E2" s="242"/>
      <c r="F2" s="242"/>
      <c r="G2" s="242"/>
      <c r="H2" s="242"/>
      <c r="I2" s="242"/>
      <c r="J2" s="242"/>
      <c r="K2" s="242"/>
      <c r="L2" s="242"/>
      <c r="M2" s="242"/>
      <c r="N2" s="242"/>
      <c r="O2" s="242"/>
    </row>
    <row r="3" spans="1:15" ht="15" customHeight="1">
      <c r="A3" s="281" t="s">
        <v>258</v>
      </c>
    </row>
    <row r="4" spans="1:15" ht="15">
      <c r="A4" s="274" t="s">
        <v>73</v>
      </c>
      <c r="B4" s="739" t="s">
        <v>804</v>
      </c>
      <c r="C4" s="739"/>
      <c r="D4" s="699"/>
      <c r="E4" s="699"/>
      <c r="F4" s="699"/>
      <c r="G4" s="536"/>
      <c r="H4" s="699" t="s">
        <v>25</v>
      </c>
      <c r="I4" s="699"/>
      <c r="J4" s="699"/>
      <c r="K4" s="699"/>
      <c r="L4" s="332" t="s">
        <v>235</v>
      </c>
      <c r="M4" s="330">
        <v>16</v>
      </c>
      <c r="N4" s="315"/>
    </row>
    <row r="5" spans="1:15">
      <c r="A5" s="275" t="s">
        <v>511</v>
      </c>
      <c r="B5" s="747" t="s">
        <v>807</v>
      </c>
      <c r="C5" s="746"/>
      <c r="D5" s="30"/>
      <c r="E5" s="30"/>
      <c r="F5" s="729" t="s">
        <v>25</v>
      </c>
      <c r="G5" s="729"/>
      <c r="H5" s="730"/>
      <c r="I5" s="537"/>
      <c r="J5" s="745" t="s">
        <v>25</v>
      </c>
      <c r="K5" s="746"/>
      <c r="L5" s="30"/>
      <c r="M5" s="246"/>
      <c r="N5" s="30"/>
    </row>
    <row r="6" spans="1:15">
      <c r="A6" s="275" t="s">
        <v>257</v>
      </c>
      <c r="B6" s="740" t="s">
        <v>808</v>
      </c>
      <c r="C6" s="740"/>
      <c r="D6" s="466" t="s">
        <v>658</v>
      </c>
      <c r="E6" s="316" t="s">
        <v>498</v>
      </c>
      <c r="J6" s="689" t="s">
        <v>25</v>
      </c>
      <c r="K6" s="652"/>
      <c r="M6" s="246"/>
      <c r="N6" s="316"/>
    </row>
    <row r="7" spans="1:15">
      <c r="A7" s="402" t="s">
        <v>244</v>
      </c>
      <c r="B7" s="52" t="s">
        <v>508</v>
      </c>
      <c r="C7" s="52"/>
      <c r="D7" s="273" t="s">
        <v>245</v>
      </c>
      <c r="E7" s="431" t="s">
        <v>805</v>
      </c>
      <c r="J7" s="689" t="s">
        <v>25</v>
      </c>
      <c r="K7" s="652"/>
      <c r="L7" s="231" t="s">
        <v>25</v>
      </c>
      <c r="M7" s="246"/>
      <c r="N7" s="30"/>
    </row>
    <row r="8" spans="1:15">
      <c r="A8" s="276" t="s">
        <v>107</v>
      </c>
      <c r="B8" s="741" t="s">
        <v>815</v>
      </c>
      <c r="C8" s="742"/>
      <c r="D8" s="742"/>
      <c r="E8" s="742"/>
      <c r="F8" s="247"/>
      <c r="G8" s="247"/>
      <c r="H8" s="247"/>
      <c r="I8" s="247"/>
      <c r="J8" s="432" t="s">
        <v>25</v>
      </c>
      <c r="K8" s="247"/>
      <c r="L8" s="247"/>
      <c r="M8" s="248"/>
      <c r="N8" s="30"/>
    </row>
    <row r="9" spans="1:15">
      <c r="A9" s="30" t="s">
        <v>25</v>
      </c>
      <c r="B9" s="30"/>
      <c r="C9" s="30"/>
      <c r="D9" s="30"/>
      <c r="E9" s="30"/>
      <c r="F9" s="30"/>
      <c r="G9" s="30"/>
      <c r="H9" s="30"/>
      <c r="I9" s="30"/>
      <c r="J9" s="30"/>
      <c r="K9" s="30"/>
      <c r="L9" s="30"/>
      <c r="M9" s="30"/>
      <c r="N9" s="30"/>
    </row>
    <row r="10" spans="1:15">
      <c r="A10" s="281" t="s">
        <v>5</v>
      </c>
      <c r="B10" s="30"/>
      <c r="C10" s="30"/>
      <c r="D10" s="30"/>
      <c r="E10" s="30"/>
      <c r="F10" s="30"/>
      <c r="G10" s="30"/>
      <c r="H10" s="30"/>
      <c r="I10" s="30"/>
      <c r="J10" s="30"/>
      <c r="K10" s="30"/>
      <c r="L10" s="30"/>
      <c r="M10" s="30"/>
      <c r="N10" s="30"/>
    </row>
    <row r="11" spans="1:15">
      <c r="A11" s="427" t="s">
        <v>638</v>
      </c>
      <c r="B11" s="324"/>
      <c r="C11" s="324"/>
      <c r="D11" s="332" t="s">
        <v>235</v>
      </c>
      <c r="E11" s="331" t="s">
        <v>447</v>
      </c>
      <c r="F11" s="749" t="s">
        <v>270</v>
      </c>
      <c r="G11" s="750"/>
      <c r="H11" s="428" t="s">
        <v>344</v>
      </c>
      <c r="I11" s="428"/>
      <c r="J11" s="324"/>
      <c r="K11" s="324"/>
      <c r="L11" s="325" t="s">
        <v>271</v>
      </c>
      <c r="M11" s="429" t="s">
        <v>326</v>
      </c>
      <c r="N11" s="52"/>
    </row>
    <row r="12" spans="1:15">
      <c r="A12" s="275"/>
      <c r="B12" s="30"/>
      <c r="C12" s="30"/>
      <c r="D12" s="30"/>
      <c r="E12" s="30"/>
      <c r="F12" s="30"/>
      <c r="G12" s="30"/>
      <c r="H12" s="30"/>
      <c r="I12" s="30"/>
      <c r="J12" s="30"/>
      <c r="K12" s="30"/>
      <c r="L12" s="30"/>
      <c r="M12" s="246"/>
      <c r="N12" s="30"/>
    </row>
    <row r="13" spans="1:15">
      <c r="A13" s="279" t="s">
        <v>272</v>
      </c>
      <c r="B13" s="278" t="s">
        <v>107</v>
      </c>
      <c r="C13" s="278"/>
      <c r="D13" s="30"/>
      <c r="E13" s="30"/>
      <c r="H13" s="30"/>
      <c r="I13" s="30"/>
      <c r="J13" s="30" t="s">
        <v>790</v>
      </c>
      <c r="K13" s="30"/>
      <c r="L13" s="278" t="s">
        <v>227</v>
      </c>
      <c r="M13" s="246"/>
      <c r="N13" s="30"/>
    </row>
    <row r="14" spans="1:15">
      <c r="A14" s="275"/>
      <c r="B14" s="30"/>
      <c r="C14" s="30"/>
      <c r="D14" s="30"/>
      <c r="E14" s="30"/>
      <c r="F14" s="30"/>
      <c r="G14" s="30"/>
      <c r="H14" s="30"/>
      <c r="I14" s="30"/>
      <c r="J14" s="30"/>
      <c r="K14" s="30"/>
      <c r="L14" s="30"/>
      <c r="M14" s="246"/>
      <c r="N14" s="30"/>
    </row>
    <row r="15" spans="1:15">
      <c r="A15" s="276" t="s">
        <v>273</v>
      </c>
      <c r="B15" s="743" t="s">
        <v>806</v>
      </c>
      <c r="C15" s="744"/>
      <c r="D15" s="247"/>
      <c r="E15" s="247"/>
      <c r="F15" s="430" t="s">
        <v>237</v>
      </c>
      <c r="G15" s="430"/>
      <c r="H15" s="752" t="s">
        <v>893</v>
      </c>
      <c r="I15" s="696"/>
      <c r="J15" s="425"/>
      <c r="K15" s="425"/>
      <c r="L15" s="247"/>
      <c r="M15" s="248"/>
      <c r="N15" s="30"/>
    </row>
    <row r="16" spans="1:15">
      <c r="A16" s="30"/>
      <c r="B16" s="30"/>
      <c r="C16" s="30"/>
      <c r="D16" s="30"/>
      <c r="E16" s="30"/>
      <c r="F16" s="30"/>
      <c r="G16" s="30"/>
      <c r="H16" s="30"/>
      <c r="I16" s="30"/>
      <c r="J16" s="30"/>
      <c r="K16" s="30"/>
      <c r="L16" s="30"/>
      <c r="M16" s="30"/>
      <c r="N16" s="30"/>
    </row>
    <row r="17" spans="1:14">
      <c r="A17" s="282" t="s">
        <v>274</v>
      </c>
      <c r="B17" s="30"/>
      <c r="C17" s="30"/>
      <c r="D17" s="30"/>
      <c r="E17" s="30"/>
      <c r="F17" s="30"/>
      <c r="G17" s="30"/>
      <c r="H17" s="30"/>
      <c r="I17" s="30"/>
      <c r="J17" s="30"/>
      <c r="K17" s="30"/>
      <c r="L17" s="30"/>
      <c r="M17" s="30"/>
      <c r="N17" s="30"/>
    </row>
    <row r="18" spans="1:14">
      <c r="A18" s="274" t="s">
        <v>788</v>
      </c>
      <c r="B18" s="428" t="s">
        <v>223</v>
      </c>
      <c r="C18" s="324"/>
      <c r="D18" s="244"/>
      <c r="E18" s="244" t="s">
        <v>260</v>
      </c>
      <c r="F18" s="751" t="s">
        <v>227</v>
      </c>
      <c r="G18" s="699"/>
      <c r="H18" s="244"/>
      <c r="I18" s="244"/>
      <c r="J18" s="244"/>
      <c r="K18" s="244" t="s">
        <v>500</v>
      </c>
      <c r="L18" s="244" t="s">
        <v>223</v>
      </c>
      <c r="M18" s="245"/>
      <c r="N18" s="30"/>
    </row>
    <row r="19" spans="1:14">
      <c r="A19" s="275" t="s">
        <v>111</v>
      </c>
      <c r="B19" s="753" t="s">
        <v>199</v>
      </c>
      <c r="C19" s="754"/>
      <c r="D19" s="30"/>
      <c r="E19" s="30"/>
      <c r="F19" s="30"/>
      <c r="G19" s="30"/>
      <c r="H19" s="30"/>
      <c r="I19" s="30"/>
      <c r="J19" s="30"/>
      <c r="K19" s="400" t="s">
        <v>499</v>
      </c>
      <c r="L19" s="30" t="s">
        <v>223</v>
      </c>
      <c r="M19" s="246"/>
      <c r="N19" s="30"/>
    </row>
    <row r="20" spans="1:14">
      <c r="A20" s="626"/>
      <c r="C20" s="234"/>
      <c r="D20" s="30"/>
      <c r="E20" s="627"/>
      <c r="F20" s="690"/>
      <c r="G20" s="652"/>
      <c r="H20" s="627"/>
      <c r="I20" s="30"/>
      <c r="J20" s="30"/>
      <c r="K20" s="400" t="s">
        <v>260</v>
      </c>
      <c r="L20" s="30" t="s">
        <v>829</v>
      </c>
      <c r="M20" s="246"/>
      <c r="N20" s="30"/>
    </row>
    <row r="21" spans="1:14" s="509" customFormat="1">
      <c r="A21" s="626"/>
      <c r="B21" s="234"/>
      <c r="C21" s="234"/>
      <c r="D21" s="30"/>
      <c r="E21" s="627"/>
      <c r="F21" s="733"/>
      <c r="G21" s="734"/>
      <c r="H21" s="627"/>
      <c r="I21" s="30"/>
      <c r="J21" s="30"/>
      <c r="K21" s="400"/>
      <c r="L21" s="230" t="s">
        <v>276</v>
      </c>
      <c r="M21" s="439" t="s">
        <v>223</v>
      </c>
      <c r="N21" s="30"/>
    </row>
    <row r="22" spans="1:14" s="509" customFormat="1">
      <c r="A22" s="275"/>
      <c r="B22" s="234"/>
      <c r="C22" s="234"/>
      <c r="D22" s="30"/>
      <c r="E22" s="30"/>
      <c r="F22" s="30"/>
      <c r="G22" s="30"/>
      <c r="H22" s="30"/>
      <c r="I22" s="30"/>
      <c r="J22" s="732" t="s">
        <v>392</v>
      </c>
      <c r="K22" s="675"/>
      <c r="L22" s="715" t="s">
        <v>268</v>
      </c>
      <c r="M22" s="653"/>
      <c r="N22" s="30"/>
    </row>
    <row r="23" spans="1:14">
      <c r="A23" s="283" t="s">
        <v>10</v>
      </c>
      <c r="B23" s="234"/>
      <c r="C23" s="234"/>
      <c r="D23" s="30"/>
      <c r="E23" s="30"/>
      <c r="F23" s="30"/>
      <c r="G23" s="30"/>
      <c r="H23" s="30"/>
      <c r="I23" s="30"/>
      <c r="J23" s="30"/>
      <c r="K23" s="30"/>
      <c r="N23" s="52"/>
    </row>
    <row r="24" spans="1:14">
      <c r="A24" s="279" t="s">
        <v>275</v>
      </c>
      <c r="B24" s="52" t="s">
        <v>223</v>
      </c>
      <c r="C24" s="52"/>
      <c r="D24" s="30"/>
      <c r="E24" s="30" t="s">
        <v>16</v>
      </c>
      <c r="F24" s="715" t="s">
        <v>223</v>
      </c>
      <c r="G24" s="715"/>
      <c r="H24" s="652"/>
      <c r="I24" s="534"/>
      <c r="N24" s="52"/>
    </row>
    <row r="25" spans="1:14">
      <c r="A25" s="283" t="s">
        <v>199</v>
      </c>
      <c r="B25" s="234"/>
      <c r="C25" s="234"/>
      <c r="D25" s="30"/>
      <c r="E25" s="30"/>
      <c r="F25" s="30"/>
      <c r="G25" s="30"/>
      <c r="H25" s="30"/>
      <c r="I25" s="30"/>
      <c r="J25" s="30"/>
      <c r="K25" s="30"/>
      <c r="L25" s="30"/>
      <c r="M25" s="246"/>
      <c r="N25" s="30"/>
    </row>
    <row r="26" spans="1:14">
      <c r="A26" s="284" t="s">
        <v>277</v>
      </c>
      <c r="B26" s="280" t="s">
        <v>267</v>
      </c>
      <c r="C26" s="280"/>
      <c r="D26" s="247"/>
      <c r="E26" s="247"/>
      <c r="F26" s="247"/>
      <c r="G26" s="247"/>
      <c r="H26" s="247"/>
      <c r="I26" s="247"/>
      <c r="J26" s="247"/>
      <c r="K26" s="247"/>
      <c r="L26" s="247"/>
      <c r="M26" s="248"/>
      <c r="N26" s="30"/>
    </row>
    <row r="28" spans="1:14">
      <c r="A28" s="282" t="s">
        <v>278</v>
      </c>
    </row>
    <row r="29" spans="1:14">
      <c r="A29" s="285" t="s">
        <v>225</v>
      </c>
      <c r="B29" s="755" t="s">
        <v>223</v>
      </c>
      <c r="C29" s="699"/>
      <c r="D29" s="699"/>
      <c r="E29" s="244"/>
      <c r="F29" s="244"/>
      <c r="G29" s="244"/>
      <c r="H29" s="244"/>
      <c r="I29" s="244"/>
      <c r="J29" s="244"/>
      <c r="K29" s="244"/>
      <c r="L29" s="244"/>
      <c r="M29" s="245"/>
      <c r="N29" s="30"/>
    </row>
    <row r="30" spans="1:14" ht="13.5" customHeight="1">
      <c r="A30" s="286" t="s">
        <v>243</v>
      </c>
      <c r="B30" s="760" t="s">
        <v>223</v>
      </c>
      <c r="C30" s="696"/>
      <c r="D30" s="247"/>
      <c r="E30" s="247"/>
      <c r="F30" s="247"/>
      <c r="G30" s="247"/>
      <c r="H30" s="247"/>
      <c r="I30" s="247"/>
      <c r="J30" s="247"/>
      <c r="K30" s="247"/>
      <c r="L30" s="247"/>
      <c r="M30" s="248"/>
      <c r="N30" s="30"/>
    </row>
    <row r="32" spans="1:14">
      <c r="A32" s="282" t="s">
        <v>279</v>
      </c>
    </row>
    <row r="33" spans="1:18">
      <c r="A33" s="274"/>
      <c r="B33" s="244"/>
      <c r="C33" s="244"/>
      <c r="D33" s="244"/>
      <c r="E33" s="244"/>
      <c r="F33" s="244"/>
      <c r="G33" s="244"/>
      <c r="H33" s="244"/>
      <c r="I33" s="244"/>
      <c r="J33" s="244"/>
      <c r="K33" s="244"/>
      <c r="L33" s="244"/>
      <c r="M33" s="245"/>
      <c r="N33" s="30"/>
    </row>
    <row r="34" spans="1:18">
      <c r="A34" s="243" t="s">
        <v>208</v>
      </c>
      <c r="B34" s="244"/>
      <c r="C34" s="328" t="s">
        <v>183</v>
      </c>
      <c r="D34" s="261"/>
      <c r="E34" s="261" t="s">
        <v>238</v>
      </c>
      <c r="F34" s="758" t="s">
        <v>223</v>
      </c>
      <c r="G34" s="750"/>
      <c r="H34" s="262" t="s">
        <v>894</v>
      </c>
      <c r="I34" s="262"/>
      <c r="J34" s="634" t="s">
        <v>223</v>
      </c>
      <c r="K34" s="631"/>
      <c r="L34" s="245"/>
      <c r="M34" s="246"/>
      <c r="N34" s="30"/>
    </row>
    <row r="35" spans="1:18">
      <c r="A35" s="250"/>
      <c r="B35" s="247"/>
      <c r="C35" s="329" t="s">
        <v>184</v>
      </c>
      <c r="D35" s="263"/>
      <c r="E35" s="263" t="s">
        <v>238</v>
      </c>
      <c r="F35" s="731" t="s">
        <v>223</v>
      </c>
      <c r="G35" s="728"/>
      <c r="H35" s="264" t="s">
        <v>894</v>
      </c>
      <c r="I35" s="264"/>
      <c r="J35" s="635" t="s">
        <v>223</v>
      </c>
      <c r="K35" s="287" t="s">
        <v>789</v>
      </c>
      <c r="L35" s="632" t="s">
        <v>223</v>
      </c>
      <c r="M35" s="246"/>
      <c r="N35" s="30"/>
    </row>
    <row r="36" spans="1:18">
      <c r="A36" s="243" t="s">
        <v>240</v>
      </c>
      <c r="B36" s="244" t="s">
        <v>183</v>
      </c>
      <c r="C36" s="244"/>
      <c r="D36" s="261"/>
      <c r="E36" s="261" t="s">
        <v>241</v>
      </c>
      <c r="F36" s="758" t="s">
        <v>223</v>
      </c>
      <c r="G36" s="750"/>
      <c r="H36" s="538" t="s">
        <v>242</v>
      </c>
      <c r="I36" s="261"/>
      <c r="J36" s="508" t="s">
        <v>223</v>
      </c>
      <c r="K36" s="288" t="s">
        <v>207</v>
      </c>
      <c r="L36" s="632" t="s">
        <v>223</v>
      </c>
      <c r="M36" s="246"/>
      <c r="N36" s="30"/>
    </row>
    <row r="37" spans="1:18">
      <c r="A37" s="250"/>
      <c r="B37" s="247" t="s">
        <v>184</v>
      </c>
      <c r="C37" s="247"/>
      <c r="D37" s="263"/>
      <c r="E37" s="263" t="s">
        <v>241</v>
      </c>
      <c r="F37" s="731" t="s">
        <v>223</v>
      </c>
      <c r="G37" s="728"/>
      <c r="H37" s="539" t="s">
        <v>242</v>
      </c>
      <c r="I37" s="263"/>
      <c r="J37" s="532" t="s">
        <v>223</v>
      </c>
      <c r="K37" s="289" t="s">
        <v>178</v>
      </c>
      <c r="L37" s="633" t="s">
        <v>223</v>
      </c>
      <c r="M37" s="246"/>
    </row>
    <row r="38" spans="1:18" s="509" customFormat="1">
      <c r="A38" s="231"/>
      <c r="B38" s="30"/>
      <c r="C38" s="30"/>
      <c r="D38" s="622"/>
      <c r="E38" s="622"/>
      <c r="F38" s="628"/>
      <c r="G38" s="322"/>
      <c r="H38" s="629"/>
      <c r="I38" s="322"/>
      <c r="J38" s="630"/>
      <c r="K38" s="61"/>
      <c r="L38" s="52"/>
      <c r="M38" s="30"/>
    </row>
    <row r="39" spans="1:18">
      <c r="D39" s="759" t="s">
        <v>390</v>
      </c>
      <c r="E39" s="759"/>
      <c r="F39" s="759"/>
      <c r="G39" s="759"/>
      <c r="H39" s="759"/>
      <c r="I39" s="321"/>
      <c r="J39" s="321"/>
      <c r="K39" s="321"/>
    </row>
    <row r="40" spans="1:18">
      <c r="A40" s="61" t="s">
        <v>365</v>
      </c>
      <c r="B40" s="319" t="s">
        <v>9</v>
      </c>
      <c r="C40" s="320" t="s">
        <v>65</v>
      </c>
      <c r="D40" s="667" t="s">
        <v>10</v>
      </c>
      <c r="E40" s="675"/>
      <c r="F40" s="756" t="s">
        <v>11</v>
      </c>
      <c r="G40" s="675"/>
      <c r="H40" s="757" t="s">
        <v>723</v>
      </c>
      <c r="I40" s="757"/>
      <c r="J40" s="667" t="s">
        <v>391</v>
      </c>
      <c r="K40" s="675"/>
      <c r="L40" s="318" t="s">
        <v>12</v>
      </c>
      <c r="M40" s="313" t="s">
        <v>283</v>
      </c>
      <c r="R40" s="98"/>
    </row>
    <row r="41" spans="1:18">
      <c r="A41" s="61"/>
      <c r="B41" s="314"/>
      <c r="C41" s="314"/>
      <c r="D41" s="13" t="s">
        <v>16</v>
      </c>
      <c r="E41" s="13" t="s">
        <v>17</v>
      </c>
      <c r="F41" s="76" t="s">
        <v>722</v>
      </c>
      <c r="G41" s="76" t="s">
        <v>17</v>
      </c>
      <c r="H41" s="76" t="s">
        <v>722</v>
      </c>
      <c r="I41" s="76" t="s">
        <v>17</v>
      </c>
      <c r="J41" s="13"/>
      <c r="K41" s="13"/>
      <c r="L41" s="13"/>
      <c r="M41" s="155"/>
      <c r="P41" s="155"/>
      <c r="R41" s="98"/>
    </row>
    <row r="42" spans="1:18">
      <c r="A42" s="621">
        <v>2018</v>
      </c>
      <c r="G42"/>
      <c r="I42"/>
    </row>
    <row r="43" spans="1:18">
      <c r="A43" t="s">
        <v>139</v>
      </c>
      <c r="B43">
        <v>290</v>
      </c>
      <c r="C43">
        <v>50</v>
      </c>
      <c r="E43" s="624"/>
      <c r="F43">
        <v>340</v>
      </c>
      <c r="G43" s="624">
        <v>43314</v>
      </c>
      <c r="H43">
        <v>0</v>
      </c>
      <c r="I43" s="624"/>
      <c r="L43">
        <v>0</v>
      </c>
      <c r="M43" s="625">
        <v>43314</v>
      </c>
    </row>
    <row r="44" spans="1:18">
      <c r="G44"/>
      <c r="I44"/>
    </row>
    <row r="45" spans="1:18">
      <c r="A45" s="748"/>
      <c r="B45" s="748"/>
      <c r="C45" s="748"/>
      <c r="G45"/>
      <c r="I45"/>
    </row>
    <row r="46" spans="1:18">
      <c r="A46" s="623" t="s">
        <v>876</v>
      </c>
      <c r="B46" s="623"/>
      <c r="C46" s="623"/>
      <c r="D46" s="623"/>
      <c r="E46" s="623"/>
      <c r="F46" s="623"/>
      <c r="G46"/>
      <c r="I46"/>
    </row>
    <row r="47" spans="1:18">
      <c r="G47"/>
      <c r="I47"/>
    </row>
    <row r="48" spans="1:18">
      <c r="G48"/>
      <c r="I48"/>
    </row>
    <row r="49" spans="1:13">
      <c r="G49"/>
      <c r="I49"/>
    </row>
    <row r="50" spans="1:13">
      <c r="G50"/>
      <c r="I50"/>
    </row>
    <row r="51" spans="1:13">
      <c r="G51"/>
      <c r="I51"/>
    </row>
    <row r="52" spans="1:13">
      <c r="G52"/>
      <c r="I52"/>
    </row>
    <row r="53" spans="1:13">
      <c r="G53"/>
      <c r="I53"/>
    </row>
    <row r="54" spans="1:13">
      <c r="G54"/>
      <c r="I54"/>
    </row>
    <row r="55" spans="1:13">
      <c r="G55"/>
      <c r="I55"/>
    </row>
    <row r="56" spans="1:13">
      <c r="G56"/>
      <c r="I56"/>
    </row>
    <row r="57" spans="1:13">
      <c r="G57"/>
      <c r="I57"/>
    </row>
    <row r="58" spans="1:13" s="509" customFormat="1">
      <c r="A58"/>
      <c r="B58"/>
      <c r="C58"/>
      <c r="D58"/>
      <c r="E58"/>
      <c r="F58"/>
      <c r="G58"/>
      <c r="H58"/>
      <c r="I58"/>
      <c r="J58"/>
      <c r="K58"/>
      <c r="L58"/>
      <c r="M58"/>
    </row>
    <row r="59" spans="1:13">
      <c r="G59"/>
      <c r="I59"/>
    </row>
    <row r="60" spans="1:13">
      <c r="G60"/>
      <c r="I60"/>
    </row>
    <row r="61" spans="1:13">
      <c r="G61"/>
      <c r="I61"/>
    </row>
    <row r="62" spans="1:13">
      <c r="G62"/>
      <c r="I62"/>
    </row>
    <row r="63" spans="1:13">
      <c r="G63"/>
      <c r="I63"/>
    </row>
    <row r="64" spans="1:13">
      <c r="G64"/>
      <c r="I64"/>
    </row>
    <row r="65" spans="7:9">
      <c r="G65"/>
      <c r="I65"/>
    </row>
    <row r="66" spans="7:9">
      <c r="G66"/>
      <c r="I66"/>
    </row>
    <row r="67" spans="7:9">
      <c r="G67"/>
      <c r="I67"/>
    </row>
    <row r="68" spans="7:9">
      <c r="G68"/>
      <c r="I68"/>
    </row>
    <row r="69" spans="7:9">
      <c r="G69"/>
      <c r="I69"/>
    </row>
    <row r="70" spans="7:9">
      <c r="G70"/>
      <c r="I70"/>
    </row>
    <row r="71" spans="7:9">
      <c r="G71"/>
      <c r="I71"/>
    </row>
    <row r="72" spans="7:9">
      <c r="G72"/>
      <c r="I72"/>
    </row>
    <row r="73" spans="7:9">
      <c r="G73"/>
      <c r="I73"/>
    </row>
    <row r="74" spans="7:9">
      <c r="G74"/>
      <c r="I74"/>
    </row>
    <row r="75" spans="7:9">
      <c r="G75"/>
      <c r="I75"/>
    </row>
    <row r="76" spans="7:9">
      <c r="G76"/>
      <c r="I76"/>
    </row>
    <row r="77" spans="7:9">
      <c r="G77"/>
      <c r="I77"/>
    </row>
    <row r="78" spans="7:9">
      <c r="G78"/>
      <c r="I78"/>
    </row>
    <row r="79" spans="7:9">
      <c r="G79"/>
      <c r="I79"/>
    </row>
    <row r="80" spans="7:9">
      <c r="G80"/>
      <c r="I80"/>
    </row>
    <row r="81" spans="7:9">
      <c r="G81"/>
      <c r="I81"/>
    </row>
    <row r="82" spans="7:9">
      <c r="G82"/>
      <c r="I82"/>
    </row>
    <row r="83" spans="7:9">
      <c r="G83"/>
      <c r="I83"/>
    </row>
    <row r="84" spans="7:9">
      <c r="G84"/>
      <c r="I84"/>
    </row>
    <row r="85" spans="7:9">
      <c r="G85"/>
      <c r="I85"/>
    </row>
    <row r="86" spans="7:9">
      <c r="G86"/>
      <c r="I86"/>
    </row>
    <row r="87" spans="7:9">
      <c r="G87"/>
      <c r="I87"/>
    </row>
    <row r="88" spans="7:9">
      <c r="G88"/>
      <c r="I88"/>
    </row>
    <row r="89" spans="7:9">
      <c r="G89"/>
      <c r="I89"/>
    </row>
    <row r="90" spans="7:9">
      <c r="G90"/>
      <c r="I90"/>
    </row>
    <row r="91" spans="7:9">
      <c r="G91"/>
      <c r="I91"/>
    </row>
    <row r="92" spans="7:9">
      <c r="G92"/>
      <c r="I92"/>
    </row>
    <row r="93" spans="7:9">
      <c r="G93"/>
      <c r="I93"/>
    </row>
    <row r="94" spans="7:9">
      <c r="G94"/>
      <c r="I94"/>
    </row>
    <row r="95" spans="7:9">
      <c r="G95"/>
      <c r="I95"/>
    </row>
    <row r="96" spans="7:9">
      <c r="G96"/>
      <c r="I96"/>
    </row>
    <row r="97" spans="7:9">
      <c r="G97"/>
      <c r="I97"/>
    </row>
    <row r="98" spans="7:9">
      <c r="G98"/>
      <c r="I98"/>
    </row>
    <row r="99" spans="7:9">
      <c r="G99"/>
      <c r="I99"/>
    </row>
    <row r="100" spans="7:9">
      <c r="G100"/>
      <c r="I100"/>
    </row>
    <row r="101" spans="7:9">
      <c r="G101"/>
      <c r="I101"/>
    </row>
    <row r="102" spans="7:9">
      <c r="G102"/>
      <c r="I102"/>
    </row>
    <row r="103" spans="7:9">
      <c r="G103"/>
      <c r="I103"/>
    </row>
    <row r="104" spans="7:9">
      <c r="G104"/>
      <c r="I104"/>
    </row>
    <row r="105" spans="7:9">
      <c r="G105"/>
      <c r="I105"/>
    </row>
    <row r="106" spans="7:9">
      <c r="G106"/>
      <c r="I106"/>
    </row>
    <row r="107" spans="7:9">
      <c r="G107"/>
      <c r="I107"/>
    </row>
    <row r="108" spans="7:9">
      <c r="G108"/>
      <c r="I108"/>
    </row>
    <row r="109" spans="7:9">
      <c r="G109"/>
      <c r="I109"/>
    </row>
    <row r="110" spans="7:9">
      <c r="G110"/>
      <c r="I110"/>
    </row>
    <row r="111" spans="7:9">
      <c r="G111"/>
      <c r="I111"/>
    </row>
    <row r="112" spans="7:9">
      <c r="G112"/>
      <c r="I112"/>
    </row>
    <row r="113" spans="7:9">
      <c r="G113"/>
      <c r="I113"/>
    </row>
    <row r="114" spans="7:9">
      <c r="G114"/>
      <c r="I114"/>
    </row>
    <row r="115" spans="7:9">
      <c r="G115"/>
      <c r="I115"/>
    </row>
    <row r="116" spans="7:9">
      <c r="G116"/>
      <c r="I116"/>
    </row>
    <row r="117" spans="7:9">
      <c r="G117"/>
      <c r="I117"/>
    </row>
    <row r="118" spans="7:9">
      <c r="G118"/>
      <c r="I118"/>
    </row>
    <row r="119" spans="7:9">
      <c r="G119"/>
      <c r="I119"/>
    </row>
    <row r="120" spans="7:9">
      <c r="G120"/>
      <c r="I120"/>
    </row>
    <row r="121" spans="7:9">
      <c r="G121"/>
      <c r="I121"/>
    </row>
    <row r="122" spans="7:9">
      <c r="G122"/>
      <c r="I122"/>
    </row>
    <row r="123" spans="7:9">
      <c r="G123"/>
      <c r="I123"/>
    </row>
    <row r="124" spans="7:9">
      <c r="G124"/>
      <c r="I124"/>
    </row>
    <row r="125" spans="7:9">
      <c r="G125"/>
      <c r="I125"/>
    </row>
    <row r="126" spans="7:9">
      <c r="G126"/>
      <c r="I126"/>
    </row>
    <row r="127" spans="7:9">
      <c r="G127"/>
      <c r="I127"/>
    </row>
    <row r="128" spans="7:9">
      <c r="G128"/>
      <c r="I128"/>
    </row>
    <row r="129" spans="7:9">
      <c r="G129"/>
      <c r="I129"/>
    </row>
    <row r="130" spans="7:9">
      <c r="G130"/>
      <c r="I130"/>
    </row>
    <row r="131" spans="7:9">
      <c r="G131"/>
      <c r="I131"/>
    </row>
    <row r="132" spans="7:9">
      <c r="G132"/>
      <c r="I132"/>
    </row>
    <row r="133" spans="7:9">
      <c r="G133"/>
      <c r="I133"/>
    </row>
    <row r="134" spans="7:9">
      <c r="G134"/>
      <c r="I134"/>
    </row>
    <row r="135" spans="7:9">
      <c r="G135"/>
      <c r="I135"/>
    </row>
    <row r="136" spans="7:9">
      <c r="G136"/>
      <c r="I136"/>
    </row>
    <row r="137" spans="7:9">
      <c r="G137"/>
      <c r="I137"/>
    </row>
    <row r="138" spans="7:9">
      <c r="G138"/>
      <c r="I138"/>
    </row>
    <row r="139" spans="7:9">
      <c r="G139"/>
      <c r="I139"/>
    </row>
  </sheetData>
  <mergeCells count="32">
    <mergeCell ref="A45:C45"/>
    <mergeCell ref="L22:M22"/>
    <mergeCell ref="F11:G11"/>
    <mergeCell ref="F18:G18"/>
    <mergeCell ref="H15:I15"/>
    <mergeCell ref="J40:K40"/>
    <mergeCell ref="B19:C19"/>
    <mergeCell ref="B29:D29"/>
    <mergeCell ref="F40:G40"/>
    <mergeCell ref="H40:I40"/>
    <mergeCell ref="F34:G34"/>
    <mergeCell ref="F35:G35"/>
    <mergeCell ref="F36:G36"/>
    <mergeCell ref="D39:H39"/>
    <mergeCell ref="B30:C30"/>
    <mergeCell ref="F24:H24"/>
    <mergeCell ref="B1:M1"/>
    <mergeCell ref="B4:F4"/>
    <mergeCell ref="B6:C6"/>
    <mergeCell ref="B8:E8"/>
    <mergeCell ref="B15:C15"/>
    <mergeCell ref="H4:K4"/>
    <mergeCell ref="J5:K5"/>
    <mergeCell ref="B5:C5"/>
    <mergeCell ref="D40:E40"/>
    <mergeCell ref="F5:H5"/>
    <mergeCell ref="J6:K6"/>
    <mergeCell ref="J7:K7"/>
    <mergeCell ref="F37:G37"/>
    <mergeCell ref="J22:K22"/>
    <mergeCell ref="F20:G20"/>
    <mergeCell ref="F21:G21"/>
  </mergeCells>
  <conditionalFormatting sqref="J5:K5">
    <cfRule type="cellIs" dxfId="67" priority="4" operator="equal">
      <formula>""</formula>
    </cfRule>
  </conditionalFormatting>
  <conditionalFormatting sqref="J6:K6">
    <cfRule type="cellIs" dxfId="66" priority="3" operator="equal">
      <formula>""</formula>
    </cfRule>
  </conditionalFormatting>
  <conditionalFormatting sqref="J7:K7">
    <cfRule type="cellIs" dxfId="65" priority="2" operator="equal">
      <formula>""</formula>
    </cfRule>
  </conditionalFormatting>
  <pageMargins left="0.19685039370078741" right="0.19685039370078741" top="0.74803149606299213" bottom="0.74803149606299213" header="0.31496062992125984" footer="0.31496062992125984"/>
  <pageSetup paperSize="9" orientation="portrait" horizontalDpi="4294967295" verticalDpi="4294967295" r:id="rId1"/>
  <headerFooter>
    <oddFooter>&amp;LFiche locataire - Logiciel cloema&amp;C&amp;A&amp;RImprimé le &amp;D</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N55"/>
  <sheetViews>
    <sheetView topLeftCell="A27" zoomScaleNormal="100" workbookViewId="0">
      <selection activeCell="A54" sqref="A54"/>
    </sheetView>
  </sheetViews>
  <sheetFormatPr baseColWidth="10" defaultRowHeight="12.75"/>
  <cols>
    <col min="1" max="1" width="15.140625" customWidth="1"/>
    <col min="3" max="3" width="2.7109375" customWidth="1"/>
    <col min="8" max="8" width="9.140625" customWidth="1"/>
    <col min="9" max="9" width="15.85546875" customWidth="1"/>
    <col min="10" max="10" width="7.5703125" customWidth="1"/>
  </cols>
  <sheetData>
    <row r="1" spans="1:10" s="8" customFormat="1" ht="27.75" customHeight="1">
      <c r="B1" s="761" t="s">
        <v>451</v>
      </c>
      <c r="C1" s="762"/>
      <c r="D1" s="763"/>
      <c r="E1" s="763"/>
      <c r="F1" s="763"/>
      <c r="G1" s="763"/>
      <c r="H1" s="763"/>
      <c r="I1" s="764"/>
      <c r="J1" s="242"/>
    </row>
    <row r="2" spans="1:10" ht="15" customHeight="1" thickBot="1"/>
    <row r="3" spans="1:10" ht="18.75" thickTop="1">
      <c r="A3" s="375" t="s">
        <v>5</v>
      </c>
      <c r="B3" s="765" t="s">
        <v>6</v>
      </c>
      <c r="C3" s="765"/>
      <c r="D3" s="766"/>
      <c r="E3" s="766"/>
      <c r="F3" s="766"/>
      <c r="G3" s="766"/>
      <c r="H3" s="766"/>
      <c r="I3" s="382">
        <v>1</v>
      </c>
    </row>
    <row r="4" spans="1:10">
      <c r="A4" s="205" t="s">
        <v>34</v>
      </c>
      <c r="B4" s="30" t="s">
        <v>7</v>
      </c>
      <c r="C4" s="30"/>
      <c r="D4" s="30"/>
      <c r="E4" s="30"/>
      <c r="F4" s="30"/>
      <c r="G4" s="30"/>
      <c r="H4" s="30"/>
      <c r="I4" s="206"/>
    </row>
    <row r="5" spans="1:10">
      <c r="A5" s="205"/>
      <c r="B5" s="30" t="s">
        <v>103</v>
      </c>
      <c r="C5" s="30"/>
      <c r="D5" s="30"/>
      <c r="E5" s="30"/>
      <c r="F5" s="30"/>
      <c r="G5" s="30"/>
      <c r="H5" s="30"/>
      <c r="I5" s="206"/>
    </row>
    <row r="6" spans="1:10">
      <c r="A6" s="205" t="s">
        <v>35</v>
      </c>
      <c r="B6" s="595" t="s">
        <v>97</v>
      </c>
      <c r="C6" s="595"/>
      <c r="D6" s="30"/>
      <c r="E6" s="30"/>
      <c r="F6" s="30"/>
      <c r="G6" s="30"/>
      <c r="H6" s="30"/>
      <c r="I6" s="206"/>
    </row>
    <row r="7" spans="1:10">
      <c r="A7" s="205" t="s">
        <v>185</v>
      </c>
      <c r="B7" s="595" t="s">
        <v>896</v>
      </c>
      <c r="C7" s="595"/>
      <c r="D7" s="30"/>
      <c r="E7" s="30" t="s">
        <v>557</v>
      </c>
      <c r="F7" s="445" t="s">
        <v>897</v>
      </c>
      <c r="G7" s="30" t="s">
        <v>791</v>
      </c>
      <c r="H7" s="61" t="s">
        <v>447</v>
      </c>
      <c r="I7" s="206"/>
    </row>
    <row r="8" spans="1:10">
      <c r="A8" s="205" t="s">
        <v>38</v>
      </c>
      <c r="B8" s="446" t="s">
        <v>60</v>
      </c>
      <c r="C8" s="461"/>
      <c r="D8" s="512"/>
      <c r="E8" s="30" t="s">
        <v>444</v>
      </c>
      <c r="F8" s="446" t="s">
        <v>99</v>
      </c>
      <c r="G8" s="30"/>
      <c r="H8" s="30"/>
      <c r="I8" s="206"/>
    </row>
    <row r="9" spans="1:10">
      <c r="A9" s="205" t="s">
        <v>39</v>
      </c>
      <c r="B9" s="446" t="s">
        <v>60</v>
      </c>
      <c r="C9" s="446"/>
      <c r="D9" s="30"/>
      <c r="E9" s="400" t="s">
        <v>559</v>
      </c>
      <c r="F9" s="446" t="s">
        <v>60</v>
      </c>
      <c r="G9" s="400" t="s">
        <v>558</v>
      </c>
      <c r="H9" s="446" t="s">
        <v>60</v>
      </c>
      <c r="I9" s="206"/>
    </row>
    <row r="10" spans="1:10">
      <c r="A10" s="205" t="s">
        <v>186</v>
      </c>
      <c r="B10" s="234" t="s">
        <v>122</v>
      </c>
      <c r="C10" s="234"/>
      <c r="D10" s="30"/>
      <c r="E10" s="30" t="s">
        <v>651</v>
      </c>
      <c r="F10" s="446" t="s">
        <v>60</v>
      </c>
      <c r="G10" s="30"/>
      <c r="H10" s="30"/>
      <c r="I10" s="206"/>
    </row>
    <row r="11" spans="1:10">
      <c r="A11" s="205" t="s">
        <v>40</v>
      </c>
      <c r="B11" s="594" t="s">
        <v>60</v>
      </c>
      <c r="C11" s="593"/>
      <c r="D11" s="512"/>
      <c r="E11" s="30" t="s">
        <v>720</v>
      </c>
      <c r="F11" s="594" t="s">
        <v>60</v>
      </c>
      <c r="G11" s="30"/>
      <c r="H11" s="30"/>
      <c r="I11" s="206"/>
    </row>
    <row r="12" spans="1:10" s="509" customFormat="1" ht="13.5" thickBot="1">
      <c r="A12" s="207" t="s">
        <v>224</v>
      </c>
      <c r="B12" s="447" t="s">
        <v>846</v>
      </c>
      <c r="C12" s="462"/>
      <c r="D12" s="513"/>
      <c r="E12" s="208" t="s">
        <v>842</v>
      </c>
      <c r="F12" s="447" t="s">
        <v>847</v>
      </c>
      <c r="G12" s="208" t="s">
        <v>863</v>
      </c>
      <c r="H12" s="208"/>
      <c r="I12" s="618" t="s">
        <v>865</v>
      </c>
    </row>
    <row r="13" spans="1:10" ht="14.25" thickTop="1" thickBot="1">
      <c r="A13" s="30"/>
    </row>
    <row r="14" spans="1:10" ht="13.5" thickTop="1">
      <c r="A14" s="574" t="s">
        <v>177</v>
      </c>
      <c r="B14" s="575" t="s">
        <v>459</v>
      </c>
      <c r="C14" s="575"/>
      <c r="D14" s="576" t="str">
        <f ca="1">DATEDIF(B14,TODAY(),"y")&amp;" ans"</f>
        <v>21 ans</v>
      </c>
      <c r="E14" s="381" t="s">
        <v>176</v>
      </c>
      <c r="F14" s="575" t="s">
        <v>459</v>
      </c>
      <c r="G14" s="577" t="s">
        <v>796</v>
      </c>
      <c r="H14" s="614">
        <v>15000</v>
      </c>
      <c r="I14" s="612" t="str">
        <f ca="1">"Depuis " &amp;DATEDIF(F14,TODAY(),"y")&amp;" ans"</f>
        <v>Depuis 21 ans</v>
      </c>
    </row>
    <row r="15" spans="1:10" s="509" customFormat="1" ht="13.5" thickBot="1">
      <c r="A15" s="582" t="s">
        <v>858</v>
      </c>
      <c r="B15" s="583">
        <v>2017</v>
      </c>
      <c r="C15" s="578"/>
      <c r="D15" s="616" t="s">
        <v>811</v>
      </c>
      <c r="E15" s="588">
        <v>548</v>
      </c>
      <c r="F15" s="579" t="s">
        <v>792</v>
      </c>
      <c r="G15" s="588">
        <v>0</v>
      </c>
      <c r="H15" s="615" t="s">
        <v>15</v>
      </c>
      <c r="I15" s="613">
        <v>485</v>
      </c>
    </row>
    <row r="16" spans="1:10" ht="14.25" thickTop="1" thickBot="1"/>
    <row r="17" spans="1:14" ht="13.5" thickTop="1">
      <c r="A17" s="219" t="s">
        <v>196</v>
      </c>
      <c r="B17" s="236" t="s">
        <v>343</v>
      </c>
      <c r="C17" s="236"/>
      <c r="D17" s="384" t="s">
        <v>458</v>
      </c>
      <c r="E17" s="236" t="s">
        <v>457</v>
      </c>
      <c r="F17" s="221"/>
      <c r="G17" s="384" t="s">
        <v>535</v>
      </c>
      <c r="H17" s="221" t="s">
        <v>232</v>
      </c>
      <c r="I17" s="238"/>
    </row>
    <row r="18" spans="1:14" ht="13.5" thickBot="1">
      <c r="A18" s="220" t="s">
        <v>201</v>
      </c>
      <c r="B18" s="237" t="s">
        <v>342</v>
      </c>
      <c r="C18" s="237"/>
      <c r="D18" s="222" t="s">
        <v>455</v>
      </c>
      <c r="E18" s="237" t="s">
        <v>60</v>
      </c>
      <c r="F18" s="208"/>
      <c r="G18" s="222" t="s">
        <v>203</v>
      </c>
      <c r="H18" s="208" t="s">
        <v>60</v>
      </c>
      <c r="I18" s="209"/>
    </row>
    <row r="19" spans="1:14" ht="14.25" thickTop="1" thickBot="1">
      <c r="M19" s="480"/>
      <c r="N19" s="480"/>
    </row>
    <row r="20" spans="1:14" ht="13.5" thickTop="1">
      <c r="A20" s="379" t="s">
        <v>209</v>
      </c>
      <c r="B20" s="203"/>
      <c r="C20" s="203"/>
      <c r="D20" s="203"/>
      <c r="E20" s="203"/>
      <c r="F20" s="203"/>
      <c r="G20" s="203"/>
      <c r="H20" s="483"/>
      <c r="I20" s="204"/>
    </row>
    <row r="21" spans="1:14">
      <c r="A21" s="484" t="s">
        <v>212</v>
      </c>
      <c r="B21" s="377" t="s">
        <v>344</v>
      </c>
      <c r="C21" s="377"/>
      <c r="D21" s="252" t="s">
        <v>15</v>
      </c>
      <c r="E21" s="377" t="s">
        <v>326</v>
      </c>
      <c r="F21" s="481" t="s">
        <v>211</v>
      </c>
      <c r="G21" s="481"/>
      <c r="H21" s="377">
        <v>340</v>
      </c>
      <c r="I21" s="206"/>
    </row>
    <row r="22" spans="1:14">
      <c r="A22" s="485" t="s">
        <v>454</v>
      </c>
      <c r="B22" s="254" t="s">
        <v>358</v>
      </c>
      <c r="C22" s="254"/>
      <c r="D22" s="30"/>
      <c r="E22" s="30"/>
      <c r="F22" s="30"/>
      <c r="G22" s="30"/>
      <c r="H22" s="30"/>
      <c r="I22" s="206"/>
    </row>
    <row r="23" spans="1:14">
      <c r="A23" s="223" t="s">
        <v>210</v>
      </c>
      <c r="B23" s="446" t="s">
        <v>213</v>
      </c>
      <c r="C23" s="446"/>
      <c r="D23" s="30" t="s">
        <v>355</v>
      </c>
      <c r="E23" s="446" t="s">
        <v>214</v>
      </c>
      <c r="F23" s="30" t="s">
        <v>356</v>
      </c>
      <c r="G23" s="30"/>
      <c r="H23" s="446" t="s">
        <v>215</v>
      </c>
      <c r="I23" s="206" t="s">
        <v>357</v>
      </c>
    </row>
    <row r="24" spans="1:14" s="482" customFormat="1" ht="13.5" thickBot="1">
      <c r="A24" s="488" t="s">
        <v>649</v>
      </c>
      <c r="B24" s="486"/>
      <c r="C24" s="486"/>
      <c r="D24" s="486" t="s">
        <v>99</v>
      </c>
      <c r="E24" s="487" t="s">
        <v>650</v>
      </c>
      <c r="F24" s="208"/>
      <c r="G24" s="208"/>
      <c r="H24" s="486" t="s">
        <v>99</v>
      </c>
      <c r="I24" s="209"/>
    </row>
    <row r="25" spans="1:14" ht="14.25" thickTop="1" thickBot="1"/>
    <row r="26" spans="1:14" ht="13.5" thickTop="1">
      <c r="A26" s="379" t="s">
        <v>45</v>
      </c>
      <c r="B26" s="203" t="s">
        <v>346</v>
      </c>
      <c r="C26" s="203"/>
      <c r="D26" s="203"/>
      <c r="E26" s="203"/>
      <c r="F26" s="226"/>
      <c r="G26" s="226"/>
      <c r="H26" s="226" t="s">
        <v>179</v>
      </c>
      <c r="I26" s="204" t="s">
        <v>348</v>
      </c>
    </row>
    <row r="27" spans="1:14">
      <c r="A27" s="224" t="s">
        <v>34</v>
      </c>
      <c r="B27" s="30" t="s">
        <v>347</v>
      </c>
      <c r="C27" s="30"/>
      <c r="D27" s="30"/>
      <c r="E27" s="30"/>
      <c r="G27" s="306"/>
      <c r="H27" s="306" t="s">
        <v>350</v>
      </c>
      <c r="I27" s="378" t="s">
        <v>491</v>
      </c>
    </row>
    <row r="28" spans="1:14">
      <c r="A28" s="224" t="s">
        <v>107</v>
      </c>
      <c r="B28" s="30" t="s">
        <v>492</v>
      </c>
      <c r="C28" s="30"/>
      <c r="D28" s="30"/>
      <c r="E28" s="30"/>
      <c r="G28" s="306"/>
      <c r="H28" s="306" t="s">
        <v>351</v>
      </c>
      <c r="I28" s="378" t="s">
        <v>359</v>
      </c>
    </row>
    <row r="29" spans="1:14" ht="13.5" thickBot="1">
      <c r="A29" s="225" t="s">
        <v>180</v>
      </c>
      <c r="B29" s="208" t="s">
        <v>493</v>
      </c>
      <c r="C29" s="208"/>
      <c r="D29" s="208"/>
      <c r="E29" s="208"/>
      <c r="F29" s="208"/>
      <c r="G29" s="208"/>
      <c r="H29" s="208"/>
      <c r="I29" s="209"/>
    </row>
    <row r="30" spans="1:14" ht="14.25" thickTop="1" thickBot="1"/>
    <row r="31" spans="1:14" ht="13.5" thickTop="1">
      <c r="A31" s="380" t="s">
        <v>494</v>
      </c>
      <c r="B31" s="381"/>
      <c r="C31" s="381"/>
      <c r="D31" s="203"/>
      <c r="E31" s="203"/>
      <c r="F31" s="203"/>
      <c r="G31" s="203"/>
      <c r="H31" s="203"/>
      <c r="I31" s="204"/>
    </row>
    <row r="32" spans="1:14">
      <c r="A32" s="374" t="s">
        <v>441</v>
      </c>
      <c r="B32" s="30" t="s">
        <v>99</v>
      </c>
      <c r="C32" s="30"/>
      <c r="D32" s="30"/>
      <c r="E32" s="30" t="s">
        <v>449</v>
      </c>
      <c r="F32" s="30" t="s">
        <v>60</v>
      </c>
      <c r="G32" s="52" t="s">
        <v>694</v>
      </c>
      <c r="H32" s="30"/>
      <c r="I32" s="206" t="s">
        <v>60</v>
      </c>
      <c r="J32" s="30"/>
    </row>
    <row r="33" spans="1:11" ht="13.5" thickBot="1">
      <c r="A33" s="207" t="s">
        <v>443</v>
      </c>
      <c r="B33" s="208" t="s">
        <v>99</v>
      </c>
      <c r="C33" s="208"/>
      <c r="D33" s="208"/>
      <c r="E33" s="208" t="s">
        <v>444</v>
      </c>
      <c r="F33" s="208" t="s">
        <v>99</v>
      </c>
      <c r="G33" s="208"/>
      <c r="H33" s="208"/>
      <c r="I33" s="589">
        <v>65</v>
      </c>
    </row>
    <row r="34" spans="1:11" ht="13.5" thickTop="1">
      <c r="A34" s="258"/>
    </row>
    <row r="35" spans="1:11" ht="13.5" thickBot="1"/>
    <row r="36" spans="1:11" ht="13.5" thickTop="1">
      <c r="A36" s="232" t="s">
        <v>181</v>
      </c>
      <c r="B36" s="203"/>
      <c r="C36" s="203"/>
      <c r="D36" s="227" t="s">
        <v>110</v>
      </c>
      <c r="E36" s="383">
        <v>43313</v>
      </c>
      <c r="F36" s="227"/>
      <c r="G36" s="227"/>
      <c r="H36" s="227"/>
      <c r="I36" s="228"/>
    </row>
    <row r="37" spans="1:11">
      <c r="A37" s="223" t="s">
        <v>73</v>
      </c>
      <c r="B37" s="767" t="s">
        <v>804</v>
      </c>
      <c r="C37" s="767"/>
      <c r="D37" s="768"/>
      <c r="E37" s="768"/>
      <c r="F37" s="768"/>
      <c r="G37" s="768"/>
      <c r="H37" s="690"/>
      <c r="I37" s="770"/>
    </row>
    <row r="38" spans="1:11">
      <c r="A38" s="223" t="s">
        <v>105</v>
      </c>
      <c r="B38" s="230" t="s">
        <v>900</v>
      </c>
      <c r="C38" s="230"/>
      <c r="D38" s="230">
        <v>663528372</v>
      </c>
      <c r="E38" s="231" t="s">
        <v>129</v>
      </c>
      <c r="F38" s="229" t="s">
        <v>815</v>
      </c>
      <c r="G38" s="229"/>
      <c r="H38" s="229"/>
      <c r="I38" s="206"/>
      <c r="K38" s="465"/>
    </row>
    <row r="39" spans="1:11">
      <c r="A39" s="223" t="s">
        <v>199</v>
      </c>
      <c r="B39" s="449" t="s">
        <v>567</v>
      </c>
      <c r="C39" s="449"/>
      <c r="D39" s="30"/>
      <c r="E39" s="30"/>
      <c r="F39" s="30"/>
      <c r="G39" s="30"/>
      <c r="H39" s="30"/>
      <c r="I39" s="206"/>
    </row>
    <row r="40" spans="1:11">
      <c r="A40" s="223" t="s">
        <v>10</v>
      </c>
      <c r="B40" s="464" t="s">
        <v>60</v>
      </c>
      <c r="C40" s="460"/>
      <c r="D40" s="769" t="str">
        <f>IF(F_log_loc_apl="Non","","Type paiement")</f>
        <v/>
      </c>
      <c r="E40" s="675"/>
      <c r="F40" s="30"/>
      <c r="G40" s="30"/>
      <c r="H40" s="30"/>
      <c r="I40" s="206"/>
    </row>
    <row r="41" spans="1:11">
      <c r="A41" s="223" t="s">
        <v>200</v>
      </c>
      <c r="B41" s="464" t="s">
        <v>199</v>
      </c>
      <c r="C41" s="460"/>
      <c r="D41" s="231"/>
      <c r="E41" s="30"/>
      <c r="F41" s="30"/>
      <c r="G41" s="30"/>
      <c r="H41" s="30"/>
      <c r="I41" s="206"/>
    </row>
    <row r="42" spans="1:11">
      <c r="A42" s="223" t="s">
        <v>224</v>
      </c>
      <c r="B42" s="30"/>
      <c r="C42" s="30"/>
      <c r="D42" s="231"/>
      <c r="E42" s="30"/>
      <c r="F42" s="30"/>
      <c r="G42" s="30"/>
      <c r="H42" s="30"/>
      <c r="I42" s="206"/>
    </row>
    <row r="43" spans="1:11" ht="13.5" thickBot="1">
      <c r="A43" s="217" t="s">
        <v>243</v>
      </c>
      <c r="B43" s="573"/>
      <c r="C43" s="208"/>
      <c r="D43" s="218"/>
      <c r="E43" s="208"/>
      <c r="F43" s="208"/>
      <c r="G43" s="208"/>
      <c r="H43" s="208"/>
      <c r="I43" s="209"/>
    </row>
    <row r="44" spans="1:11" ht="14.25" thickTop="1" thickBot="1">
      <c r="G44" s="203"/>
    </row>
    <row r="45" spans="1:11" ht="14.25" thickTop="1" thickBot="1">
      <c r="A45" s="605" t="s">
        <v>450</v>
      </c>
      <c r="B45" s="606"/>
      <c r="C45" s="210"/>
      <c r="D45" s="210"/>
      <c r="E45" s="210"/>
      <c r="F45" s="210"/>
      <c r="G45" s="210"/>
      <c r="H45" s="210"/>
      <c r="I45" s="211"/>
    </row>
    <row r="46" spans="1:11" ht="13.5" thickTop="1">
      <c r="A46" s="18" t="s">
        <v>699</v>
      </c>
      <c r="D46" s="147">
        <v>39746</v>
      </c>
      <c r="E46" s="147">
        <v>40368</v>
      </c>
      <c r="H46" t="s">
        <v>696</v>
      </c>
    </row>
    <row r="47" spans="1:11">
      <c r="A47" s="18" t="s">
        <v>701</v>
      </c>
      <c r="D47" s="147">
        <v>40486</v>
      </c>
      <c r="E47" s="147">
        <v>40941</v>
      </c>
      <c r="H47" t="s">
        <v>696</v>
      </c>
    </row>
    <row r="48" spans="1:11">
      <c r="A48" s="18" t="s">
        <v>703</v>
      </c>
      <c r="D48" s="147">
        <v>41153</v>
      </c>
      <c r="E48" s="147">
        <v>41424</v>
      </c>
      <c r="H48" t="s">
        <v>696</v>
      </c>
    </row>
    <row r="49" spans="1:9">
      <c r="A49" s="18" t="s">
        <v>706</v>
      </c>
      <c r="D49" s="147">
        <v>41450</v>
      </c>
      <c r="E49" s="147">
        <v>41517</v>
      </c>
      <c r="F49">
        <v>0</v>
      </c>
      <c r="H49" t="s">
        <v>696</v>
      </c>
    </row>
    <row r="50" spans="1:9" ht="12.75" customHeight="1">
      <c r="A50" s="18" t="s">
        <v>708</v>
      </c>
      <c r="D50" s="147">
        <v>41518</v>
      </c>
      <c r="E50" s="147">
        <v>41802</v>
      </c>
      <c r="H50" t="s">
        <v>696</v>
      </c>
    </row>
    <row r="51" spans="1:9">
      <c r="A51" s="18" t="s">
        <v>18</v>
      </c>
      <c r="D51" s="147">
        <v>41821</v>
      </c>
      <c r="E51" s="147">
        <v>42673</v>
      </c>
      <c r="F51">
        <v>290</v>
      </c>
      <c r="G51">
        <v>50</v>
      </c>
    </row>
    <row r="52" spans="1:9" s="434" customFormat="1">
      <c r="A52" s="18" t="s">
        <v>112</v>
      </c>
      <c r="B52"/>
      <c r="C52"/>
      <c r="D52" s="147">
        <v>42675</v>
      </c>
      <c r="E52" s="509" t="s">
        <v>814</v>
      </c>
      <c r="F52">
        <v>290</v>
      </c>
      <c r="G52">
        <v>50</v>
      </c>
      <c r="H52" t="s">
        <v>431</v>
      </c>
      <c r="I52"/>
    </row>
    <row r="53" spans="1:9" s="434" customFormat="1">
      <c r="A53"/>
      <c r="B53"/>
      <c r="C53"/>
      <c r="D53"/>
      <c r="E53"/>
      <c r="F53"/>
      <c r="G53"/>
      <c r="H53"/>
      <c r="I53"/>
    </row>
    <row r="54" spans="1:9" s="434" customFormat="1">
      <c r="A54" s="415" t="s">
        <v>602</v>
      </c>
      <c r="B54"/>
      <c r="C54"/>
      <c r="D54"/>
      <c r="E54"/>
      <c r="F54"/>
      <c r="G54"/>
      <c r="H54"/>
      <c r="I54"/>
    </row>
    <row r="55" spans="1:9">
      <c r="A55" t="s">
        <v>898</v>
      </c>
    </row>
  </sheetData>
  <sortState ref="A46:I53">
    <sortCondition ref="D46:D53"/>
  </sortState>
  <mergeCells count="5">
    <mergeCell ref="B1:I1"/>
    <mergeCell ref="B3:H3"/>
    <mergeCell ref="B37:G37"/>
    <mergeCell ref="D40:E40"/>
    <mergeCell ref="H37:I37"/>
  </mergeCells>
  <conditionalFormatting sqref="C41">
    <cfRule type="cellIs" dxfId="64" priority="25" operator="equal">
      <formula>"Non"</formula>
    </cfRule>
  </conditionalFormatting>
  <conditionalFormatting sqref="B40:C40">
    <cfRule type="cellIs" dxfId="63" priority="24" operator="equal">
      <formula>"Non"</formula>
    </cfRule>
  </conditionalFormatting>
  <conditionalFormatting sqref="B32:C32">
    <cfRule type="cellIs" dxfId="62" priority="23" operator="equal">
      <formula>"Non"</formula>
    </cfRule>
  </conditionalFormatting>
  <conditionalFormatting sqref="B33:C33">
    <cfRule type="cellIs" dxfId="61" priority="22" operator="equal">
      <formula>"Non"</formula>
    </cfRule>
  </conditionalFormatting>
  <conditionalFormatting sqref="F32:G32">
    <cfRule type="cellIs" dxfId="60" priority="21" operator="equal">
      <formula>"Non"</formula>
    </cfRule>
  </conditionalFormatting>
  <conditionalFormatting sqref="F33">
    <cfRule type="cellIs" dxfId="59" priority="20" operator="equal">
      <formula>"Non"</formula>
    </cfRule>
  </conditionalFormatting>
  <conditionalFormatting sqref="B9:C9">
    <cfRule type="cellIs" dxfId="58" priority="19" operator="equal">
      <formula>"Non"</formula>
    </cfRule>
  </conditionalFormatting>
  <conditionalFormatting sqref="F9">
    <cfRule type="cellIs" dxfId="57" priority="12" operator="equal">
      <formula>"Non"</formula>
    </cfRule>
  </conditionalFormatting>
  <conditionalFormatting sqref="H9">
    <cfRule type="cellIs" dxfId="56" priority="11" operator="equal">
      <formula>"Non"</formula>
    </cfRule>
  </conditionalFormatting>
  <conditionalFormatting sqref="B8">
    <cfRule type="cellIs" dxfId="55" priority="10" operator="equal">
      <formula>"Non"</formula>
    </cfRule>
  </conditionalFormatting>
  <conditionalFormatting sqref="B11:B12">
    <cfRule type="cellIs" dxfId="54" priority="9" operator="equal">
      <formula>"Non"</formula>
    </cfRule>
  </conditionalFormatting>
  <conditionalFormatting sqref="B41">
    <cfRule type="cellIs" dxfId="53" priority="7" operator="equal">
      <formula>"Non"</formula>
    </cfRule>
  </conditionalFormatting>
  <conditionalFormatting sqref="F8">
    <cfRule type="cellIs" dxfId="52" priority="6" operator="equal">
      <formula>"Non"</formula>
    </cfRule>
  </conditionalFormatting>
  <conditionalFormatting sqref="F10">
    <cfRule type="cellIs" dxfId="51" priority="5" operator="equal">
      <formula>"Non"</formula>
    </cfRule>
  </conditionalFormatting>
  <conditionalFormatting sqref="D24">
    <cfRule type="cellIs" dxfId="50" priority="4" operator="equal">
      <formula>"Non"</formula>
    </cfRule>
  </conditionalFormatting>
  <conditionalFormatting sqref="H24">
    <cfRule type="cellIs" dxfId="49" priority="3" operator="equal">
      <formula>"Non"</formula>
    </cfRule>
  </conditionalFormatting>
  <conditionalFormatting sqref="I32">
    <cfRule type="cellIs" dxfId="48" priority="2" operator="equal">
      <formula>"Non"</formula>
    </cfRule>
  </conditionalFormatting>
  <conditionalFormatting sqref="F11:F12">
    <cfRule type="cellIs" dxfId="47" priority="1" operator="equal">
      <formula>"Non"</formula>
    </cfRule>
  </conditionalFormatting>
  <pageMargins left="0.19685039370078741" right="0.19685039370078741" top="0.74803149606299213" bottom="0.74803149606299213" header="0.31496062992125984" footer="0.31496062992125984"/>
  <pageSetup paperSize="9" orientation="portrait" r:id="rId1"/>
  <headerFooter>
    <oddFooter>&amp;LFiche Logement   __ Logiciel cloema&amp;RImprimé le :&amp;D</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H41"/>
  <sheetViews>
    <sheetView topLeftCell="A26" zoomScaleNormal="100" workbookViewId="0">
      <selection activeCell="B44" sqref="B44"/>
    </sheetView>
  </sheetViews>
  <sheetFormatPr baseColWidth="10" defaultRowHeight="12.75"/>
  <cols>
    <col min="1" max="1" width="15.140625" customWidth="1"/>
    <col min="6" max="6" width="9.140625" customWidth="1"/>
    <col min="7" max="7" width="15.85546875" customWidth="1"/>
    <col min="8" max="8" width="7.5703125" customWidth="1"/>
  </cols>
  <sheetData>
    <row r="1" spans="1:8" s="8" customFormat="1" ht="27.75" customHeight="1">
      <c r="A1" s="444" t="s">
        <v>563</v>
      </c>
      <c r="B1" s="761" t="s">
        <v>187</v>
      </c>
      <c r="C1" s="763"/>
      <c r="D1" s="763"/>
      <c r="E1" s="763"/>
      <c r="F1" s="763"/>
      <c r="G1" s="764"/>
      <c r="H1" s="242"/>
    </row>
    <row r="2" spans="1:8" ht="15" customHeight="1" thickBot="1"/>
    <row r="3" spans="1:8" ht="18.75" thickTop="1">
      <c r="A3" s="202" t="s">
        <v>5</v>
      </c>
      <c r="B3" s="233" t="e">
        <f>VLOOKUP(code_appart,Logement!B4:AC8,4,0)</f>
        <v>#N/A</v>
      </c>
      <c r="C3" s="203"/>
      <c r="D3" s="203"/>
      <c r="E3" s="203"/>
      <c r="F3" s="203"/>
      <c r="G3" s="204"/>
    </row>
    <row r="4" spans="1:8">
      <c r="A4" s="205" t="s">
        <v>34</v>
      </c>
      <c r="B4" s="30" t="e">
        <f>VLOOKUP(code_appart,Logement!B4:AC8,5,0)</f>
        <v>#N/A</v>
      </c>
      <c r="C4" s="30"/>
      <c r="D4" s="30"/>
      <c r="E4" s="30"/>
      <c r="F4" s="30"/>
      <c r="G4" s="206"/>
    </row>
    <row r="5" spans="1:8">
      <c r="A5" s="205"/>
      <c r="B5" s="30" t="e">
        <f>VLOOKUP(code_appart,Logement!B4:AC8,7,0)</f>
        <v>#N/A</v>
      </c>
      <c r="C5" s="30"/>
      <c r="D5" s="30"/>
      <c r="E5" s="30"/>
      <c r="F5" s="30"/>
      <c r="G5" s="206"/>
    </row>
    <row r="6" spans="1:8">
      <c r="A6" s="205" t="s">
        <v>35</v>
      </c>
      <c r="B6" s="45" t="str">
        <f>VLOOKUP(code_appart,Logement!B4:AC8,15)</f>
        <v>2éme</v>
      </c>
      <c r="C6" s="30"/>
      <c r="D6" s="30"/>
      <c r="E6" s="30"/>
      <c r="F6" s="30"/>
      <c r="G6" s="206"/>
    </row>
    <row r="7" spans="1:8">
      <c r="A7" s="205" t="s">
        <v>185</v>
      </c>
      <c r="B7" s="30">
        <f>VLOOKUP(code_appart,Logement!B4:AC8,16)</f>
        <v>30</v>
      </c>
      <c r="C7" s="30"/>
      <c r="D7" s="30"/>
      <c r="E7" s="30"/>
      <c r="F7" s="30"/>
      <c r="G7" s="206"/>
    </row>
    <row r="8" spans="1:8">
      <c r="A8" s="205" t="s">
        <v>38</v>
      </c>
      <c r="B8" s="234" t="str">
        <f>VLOOKUP(code_appart,Logement!B4:AC8,17)</f>
        <v>Non</v>
      </c>
      <c r="C8" s="30"/>
      <c r="D8" s="30"/>
      <c r="E8" s="30"/>
      <c r="F8" s="30"/>
      <c r="G8" s="206"/>
    </row>
    <row r="9" spans="1:8">
      <c r="A9" s="205" t="s">
        <v>39</v>
      </c>
      <c r="B9" s="234" t="b">
        <f>VLOOKUP(code_appart,Logement!B4:AC8,18)</f>
        <v>0</v>
      </c>
      <c r="C9" s="30"/>
      <c r="D9" s="30"/>
      <c r="E9" s="30"/>
      <c r="F9" s="30"/>
      <c r="G9" s="206"/>
    </row>
    <row r="10" spans="1:8">
      <c r="A10" s="205" t="s">
        <v>186</v>
      </c>
      <c r="B10" s="234" t="str">
        <f>VLOOKUP(code_appart,Logement!B4:AC8,24)</f>
        <v>Vigik</v>
      </c>
      <c r="C10" s="30"/>
      <c r="D10" s="30"/>
      <c r="E10" s="30"/>
      <c r="F10" s="30"/>
      <c r="G10" s="206"/>
    </row>
    <row r="11" spans="1:8" ht="13.5" thickBot="1">
      <c r="A11" s="207" t="s">
        <v>40</v>
      </c>
      <c r="B11" s="235" t="str">
        <f>VLOOKUP(code_appart,Logement!B4:AC8,25)</f>
        <v>Non</v>
      </c>
      <c r="C11" s="208"/>
      <c r="D11" s="208"/>
      <c r="E11" s="208"/>
      <c r="F11" s="208"/>
      <c r="G11" s="209"/>
    </row>
    <row r="12" spans="1:8" ht="14.25" thickTop="1" thickBot="1"/>
    <row r="13" spans="1:8" ht="14.25" thickTop="1" thickBot="1">
      <c r="A13" s="213" t="s">
        <v>177</v>
      </c>
      <c r="B13" s="256" t="str">
        <f>IF(VLOOKUP(code_appart,Logement!B4:AC8,26)&lt;&gt;0,VLOOKUP(code_appart,Logement!B4:AC8,26),"Non connue")</f>
        <v>31/12/1996</v>
      </c>
      <c r="C13" s="210"/>
      <c r="D13" s="213" t="s">
        <v>176</v>
      </c>
      <c r="E13" s="256" t="str">
        <f>IF(VLOOKUP(code_appart,Logement!B4:AC8,27)&lt;&gt;0,VLOOKUP(code_appart,Logement!B4:AC8,27),"Non connue")</f>
        <v>31/12/1996</v>
      </c>
      <c r="F13" s="212"/>
      <c r="G13" s="211"/>
    </row>
    <row r="14" spans="1:8" ht="14.25" thickTop="1" thickBot="1"/>
    <row r="15" spans="1:8" ht="13.5" thickTop="1">
      <c r="A15" s="219" t="s">
        <v>196</v>
      </c>
      <c r="B15" s="236" t="str">
        <f>VLOOKUP(code_appart,Logement!B4:AC8,23)</f>
        <v>ptt carrae</v>
      </c>
      <c r="C15" s="221" t="s">
        <v>202</v>
      </c>
      <c r="D15" s="236" t="str">
        <f>VLOOKUP(code_appart,Logement!B4:AC8,20)</f>
        <v>039 601 333784 36</v>
      </c>
      <c r="E15" s="221" t="s">
        <v>203</v>
      </c>
      <c r="F15" s="221"/>
      <c r="G15" s="238" t="str">
        <f>VLOOKUP(code_appart,Logement!B4:AC8,21)</f>
        <v>Non</v>
      </c>
    </row>
    <row r="16" spans="1:8" ht="13.5" thickBot="1">
      <c r="A16" s="220" t="s">
        <v>201</v>
      </c>
      <c r="B16" s="237" t="str">
        <f>VLOOKUP(code_appart,Logement!B4:AC8,22)</f>
        <v>eau carrare</v>
      </c>
      <c r="C16" s="222" t="s">
        <v>195</v>
      </c>
      <c r="D16" s="237" t="str">
        <f>VLOOKUP(code_appart,Logement!B4:AC8,19)</f>
        <v>Non</v>
      </c>
      <c r="E16" s="208"/>
      <c r="F16" s="208"/>
      <c r="G16" s="209"/>
    </row>
    <row r="17" spans="1:7" ht="13.5" thickTop="1"/>
    <row r="18" spans="1:7">
      <c r="A18" s="243" t="s">
        <v>209</v>
      </c>
      <c r="B18" s="244"/>
      <c r="C18" s="244"/>
      <c r="D18" s="244"/>
      <c r="E18" s="244"/>
      <c r="F18" s="244"/>
      <c r="G18" s="245"/>
    </row>
    <row r="19" spans="1:7">
      <c r="A19" s="251" t="s">
        <v>212</v>
      </c>
      <c r="B19" s="30" t="str">
        <f>VLOOKUP(code_appart,Logement!B4:AC8,8)</f>
        <v>290</v>
      </c>
      <c r="C19" s="252" t="s">
        <v>15</v>
      </c>
      <c r="D19" s="30" t="str">
        <f>VLOOKUP(code_appart,Logement!B4:AC8,13)</f>
        <v>50</v>
      </c>
      <c r="E19" s="253" t="s">
        <v>211</v>
      </c>
      <c r="F19" s="30">
        <f>B19+D19</f>
        <v>340</v>
      </c>
      <c r="G19" s="246"/>
    </row>
    <row r="20" spans="1:7">
      <c r="A20" s="249" t="s">
        <v>69</v>
      </c>
      <c r="B20" s="254" t="str">
        <f>VLOOKUP(code_appart,Logement!B4:AC8,9)</f>
        <v>30/06/2014</v>
      </c>
      <c r="C20" s="30"/>
      <c r="D20" s="30"/>
      <c r="E20" s="30"/>
      <c r="F20" s="30"/>
      <c r="G20" s="246"/>
    </row>
    <row r="21" spans="1:7">
      <c r="A21" s="376" t="s">
        <v>210</v>
      </c>
      <c r="B21" s="255" t="s">
        <v>213</v>
      </c>
      <c r="C21" s="247" t="str">
        <f>VLOOKUP(code_appart,Logement!B4:AC8,10)</f>
        <v>4</v>
      </c>
      <c r="D21" s="255" t="s">
        <v>214</v>
      </c>
      <c r="E21" s="247" t="str">
        <f>VLOOKUP(code_appart,Logement!B4:AC8,11)</f>
        <v>2009</v>
      </c>
      <c r="F21" s="255" t="s">
        <v>215</v>
      </c>
      <c r="G21" s="248" t="str">
        <f>VLOOKUP(code_appart,Logement!B4:AC8,12)</f>
        <v>117,47</v>
      </c>
    </row>
    <row r="22" spans="1:7" ht="13.5" thickBot="1"/>
    <row r="23" spans="1:7" ht="13.5" thickTop="1">
      <c r="A23" s="216" t="s">
        <v>45</v>
      </c>
      <c r="B23" s="203" t="str">
        <f>VLOOKUP(code_appart,Logement!B4:AC8,28)</f>
        <v>Collet_Beillont Grimaud</v>
      </c>
      <c r="C23" s="203"/>
      <c r="D23" s="203"/>
      <c r="E23" s="226" t="s">
        <v>179</v>
      </c>
      <c r="F23" s="226"/>
      <c r="G23" s="204" t="str">
        <f>VLOOKUP(code_appart,Logement!B4:AI8,30)</f>
        <v>01-02-03-04-05</v>
      </c>
    </row>
    <row r="24" spans="1:7">
      <c r="A24" s="224" t="s">
        <v>34</v>
      </c>
      <c r="B24" s="30" t="str">
        <f>VLOOKUP(code_appart,Logement!B4:AI8,29)</f>
        <v>adresese de test1</v>
      </c>
      <c r="C24" s="30"/>
      <c r="D24" s="30"/>
      <c r="E24" s="30"/>
      <c r="F24" s="30"/>
      <c r="G24" s="206"/>
    </row>
    <row r="25" spans="1:7">
      <c r="A25" s="224" t="s">
        <v>107</v>
      </c>
      <c r="B25" s="30" t="str">
        <f>VLOOKUP(code_appart,Logement!B4:AI8,31)</f>
        <v>d.yyyyyy@xxxxxxxx.fr</v>
      </c>
      <c r="C25" s="30"/>
      <c r="D25" s="30"/>
      <c r="E25" s="30"/>
      <c r="F25" s="30"/>
      <c r="G25" s="206"/>
    </row>
    <row r="26" spans="1:7" ht="13.5" thickBot="1">
      <c r="A26" s="225" t="s">
        <v>180</v>
      </c>
      <c r="B26" s="208" t="str">
        <f>VLOOKUP(code_appart,Logement!B4:AI8,32)</f>
        <v>Sportiche</v>
      </c>
      <c r="C26" s="208"/>
      <c r="D26" s="208"/>
      <c r="E26" s="208"/>
      <c r="F26" s="208"/>
      <c r="G26" s="209"/>
    </row>
    <row r="27" spans="1:7" ht="13.5" thickTop="1"/>
    <row r="28" spans="1:7">
      <c r="A28" s="258" t="s">
        <v>224</v>
      </c>
    </row>
    <row r="29" spans="1:7">
      <c r="A29" s="258" t="s">
        <v>225</v>
      </c>
      <c r="D29" t="s">
        <v>226</v>
      </c>
    </row>
    <row r="31" spans="1:7" ht="13.5" thickBot="1"/>
    <row r="32" spans="1:7" ht="13.5" thickTop="1">
      <c r="A32" s="232" t="s">
        <v>181</v>
      </c>
      <c r="B32" s="203"/>
      <c r="C32" s="203"/>
      <c r="D32" s="203"/>
      <c r="E32" s="227" t="s">
        <v>110</v>
      </c>
      <c r="F32" s="227"/>
      <c r="G32" s="228" t="str">
        <f>VLOOKUP(code_appart,Locataires!A5:AK8,9)</f>
        <v>La bruyere</v>
      </c>
    </row>
    <row r="33" spans="1:7">
      <c r="A33" s="223" t="s">
        <v>73</v>
      </c>
      <c r="B33" s="690"/>
      <c r="C33" s="652"/>
      <c r="D33" s="652"/>
      <c r="E33" s="652"/>
      <c r="F33" s="30"/>
      <c r="G33" s="206"/>
    </row>
    <row r="34" spans="1:7">
      <c r="A34" s="223" t="s">
        <v>105</v>
      </c>
      <c r="B34" s="230" t="str">
        <f>VLOOKUP(code_appart,Locataires!A5:AK8,4)</f>
        <v/>
      </c>
      <c r="C34" s="230"/>
      <c r="D34" s="231" t="s">
        <v>129</v>
      </c>
      <c r="E34" s="229" t="str">
        <f>VLOOKUP(code_appart,Locataires!A5:AK8,5)</f>
        <v>00.00.00.00.00</v>
      </c>
      <c r="F34" s="229"/>
      <c r="G34" s="206"/>
    </row>
    <row r="35" spans="1:7">
      <c r="A35" s="223" t="s">
        <v>199</v>
      </c>
      <c r="B35" s="30" t="str">
        <f>VLOOKUP(code_appart,Locataires!A5:AK8,14)</f>
        <v>2014641</v>
      </c>
      <c r="C35" s="30"/>
      <c r="D35" s="30"/>
      <c r="E35" s="30"/>
      <c r="F35" s="30"/>
      <c r="G35" s="206"/>
    </row>
    <row r="36" spans="1:7">
      <c r="A36" s="223" t="s">
        <v>10</v>
      </c>
      <c r="B36" s="30" t="str">
        <f>VLOOKUP(code_appart,Locataires!A5:AK8,13)</f>
        <v>Chèque</v>
      </c>
      <c r="C36" s="231" t="s">
        <v>198</v>
      </c>
      <c r="D36" s="30"/>
      <c r="E36" s="30" t="str">
        <f>VLOOKUP(code_appart,Locataires!A5:AK8,12)</f>
        <v/>
      </c>
      <c r="F36" s="30"/>
      <c r="G36" s="206"/>
    </row>
    <row r="37" spans="1:7" ht="13.5" thickBot="1">
      <c r="A37" s="217" t="s">
        <v>200</v>
      </c>
      <c r="B37" s="208">
        <f>VLOOKUP(code_appart,Locataires!A5:AK8,11)</f>
        <v>42904</v>
      </c>
      <c r="C37" s="218"/>
      <c r="D37" s="208"/>
      <c r="E37" s="208"/>
      <c r="F37" s="208"/>
      <c r="G37" s="209"/>
    </row>
    <row r="38" spans="1:7" ht="14.25" thickTop="1" thickBot="1"/>
    <row r="39" spans="1:7" ht="13.5" thickTop="1">
      <c r="A39" s="232" t="s">
        <v>182</v>
      </c>
      <c r="B39" s="203"/>
      <c r="C39" s="203"/>
      <c r="D39" s="203"/>
      <c r="E39" s="203"/>
      <c r="F39" s="203"/>
      <c r="G39" s="204"/>
    </row>
    <row r="40" spans="1:7" ht="13.5" thickBot="1">
      <c r="A40" s="215" t="s">
        <v>73</v>
      </c>
      <c r="B40" s="208"/>
      <c r="C40" s="214" t="s">
        <v>183</v>
      </c>
      <c r="D40" s="214" t="s">
        <v>184</v>
      </c>
      <c r="E40" s="214" t="s">
        <v>129</v>
      </c>
      <c r="F40" s="214"/>
      <c r="G40" s="209"/>
    </row>
    <row r="41" spans="1:7" ht="13.5" thickTop="1"/>
  </sheetData>
  <mergeCells count="2">
    <mergeCell ref="B1:G1"/>
    <mergeCell ref="B33:E33"/>
  </mergeCells>
  <pageMargins left="0.7" right="0.7" top="0.75" bottom="0.75" header="0.3" footer="0.3"/>
  <pageSetup paperSize="9" orientation="portrait" r:id="rId1"/>
  <headerFooter>
    <oddFooter>&amp;LFiche appartement Logiciel cloema&amp;RImprimé le :&amp;D</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A1:H41"/>
  <sheetViews>
    <sheetView workbookViewId="0">
      <selection activeCell="I15" sqref="I15:I16"/>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
        <v>860</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455" t="s">
        <v>24</v>
      </c>
      <c r="F12" s="776" t="s">
        <v>831</v>
      </c>
      <c r="G12" s="776"/>
      <c r="H12" s="776"/>
    </row>
    <row r="13" spans="1:8" ht="15">
      <c r="D13" s="27"/>
      <c r="F13" t="s">
        <v>25</v>
      </c>
    </row>
    <row r="14" spans="1:8" ht="12.75" customHeight="1">
      <c r="A14" s="25" t="s">
        <v>59</v>
      </c>
      <c r="B14" s="26"/>
      <c r="C14" s="26"/>
      <c r="D14" s="777" t="s">
        <v>26</v>
      </c>
      <c r="E14" s="777"/>
      <c r="F14" s="778" t="s">
        <v>104</v>
      </c>
      <c r="G14" s="778"/>
      <c r="H14" s="27"/>
    </row>
    <row r="15" spans="1:8" ht="15" customHeight="1">
      <c r="A15" s="26"/>
      <c r="B15" s="26"/>
      <c r="C15" s="26"/>
      <c r="D15" s="27"/>
      <c r="E15" s="27"/>
      <c r="F15" s="28" t="s">
        <v>51</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v>740</v>
      </c>
      <c r="G23" s="42"/>
    </row>
    <row r="24" spans="1:8" ht="15">
      <c r="B24" s="773" t="s">
        <v>15</v>
      </c>
      <c r="C24" s="773"/>
      <c r="D24" s="773"/>
      <c r="E24" s="773"/>
      <c r="F24" s="43">
        <v>130</v>
      </c>
      <c r="G24" s="40"/>
    </row>
    <row r="25" spans="1:8">
      <c r="B25" s="34"/>
      <c r="C25" s="30"/>
      <c r="D25" s="30"/>
      <c r="E25" s="30"/>
      <c r="F25" s="34"/>
      <c r="G25" s="40"/>
    </row>
    <row r="26" spans="1:8" ht="15">
      <c r="B26" s="44" t="str">
        <f>IF(G26="","","APL versée par la CAF")</f>
        <v/>
      </c>
      <c r="C26" s="30"/>
      <c r="D26" s="453" t="str">
        <f>IF(G26="","","Le: ")</f>
        <v/>
      </c>
      <c r="E26" s="46"/>
      <c r="F26" s="34"/>
      <c r="G26" s="47"/>
    </row>
    <row r="27" spans="1:8">
      <c r="B27" s="34" t="s">
        <v>28</v>
      </c>
      <c r="C27" s="30"/>
      <c r="D27" s="453"/>
      <c r="E27" s="65"/>
      <c r="F27" s="34"/>
      <c r="G27" s="40"/>
    </row>
    <row r="28" spans="1:8" s="509" customFormat="1">
      <c r="B28" s="772" t="s">
        <v>507</v>
      </c>
      <c r="C28" s="730"/>
      <c r="D28" s="530" t="str">
        <f>IF(G28="","","Le :")</f>
        <v>Le :</v>
      </c>
      <c r="E28" s="533" t="s">
        <v>861</v>
      </c>
      <c r="F28" s="34"/>
      <c r="G28" s="40">
        <v>435</v>
      </c>
    </row>
    <row r="29" spans="1:8" s="509" customFormat="1">
      <c r="B29" s="772" t="s">
        <v>512</v>
      </c>
      <c r="C29" s="730"/>
      <c r="D29" s="529" t="str">
        <f>IF(G29="","","Le :")</f>
        <v>Le :</v>
      </c>
      <c r="E29" s="533" t="s">
        <v>862</v>
      </c>
      <c r="F29" s="34"/>
      <c r="G29" s="40">
        <v>435</v>
      </c>
    </row>
    <row r="30" spans="1:8">
      <c r="B30" s="34" t="str">
        <f>IF(G30="","","Remise accordée")</f>
        <v/>
      </c>
      <c r="C30" s="30"/>
      <c r="E30" s="46"/>
      <c r="F30" s="34"/>
      <c r="G30" s="40"/>
    </row>
    <row r="31" spans="1:8">
      <c r="B31" s="557" t="s">
        <v>223</v>
      </c>
      <c r="C31" s="30"/>
      <c r="D31" s="30"/>
      <c r="E31" s="30"/>
      <c r="F31" s="34"/>
      <c r="G31" s="40"/>
    </row>
    <row r="32" spans="1:8">
      <c r="B32" s="34"/>
      <c r="C32" s="30"/>
      <c r="D32" s="30"/>
      <c r="E32" s="30"/>
      <c r="F32" s="34"/>
      <c r="G32" s="40"/>
    </row>
    <row r="33" spans="2:7">
      <c r="B33" s="34"/>
      <c r="C33" s="30"/>
      <c r="D33" s="30"/>
      <c r="E33" s="30"/>
      <c r="F33" s="34"/>
      <c r="G33" s="40"/>
    </row>
    <row r="34" spans="2:7">
      <c r="B34" s="34"/>
      <c r="C34" s="30"/>
      <c r="D34" s="30"/>
      <c r="E34" s="30"/>
      <c r="F34" s="34"/>
      <c r="G34" s="40"/>
    </row>
    <row r="35" spans="2:7">
      <c r="B35" s="34"/>
      <c r="C35" s="30"/>
      <c r="D35" s="30"/>
      <c r="E35" s="30"/>
      <c r="F35" s="34"/>
      <c r="G35" s="40"/>
    </row>
    <row r="36" spans="2:7">
      <c r="B36" s="37"/>
      <c r="C36" s="38"/>
      <c r="D36" s="38"/>
      <c r="E36" s="48" t="s">
        <v>30</v>
      </c>
      <c r="F36" s="49"/>
      <c r="G36" s="50">
        <f>SUM(F23:F24)-SUM(G23:G35)</f>
        <v>0</v>
      </c>
    </row>
    <row r="41" spans="2:7" ht="18" customHeight="1">
      <c r="D41" s="2" t="s">
        <v>31</v>
      </c>
      <c r="E41" s="771">
        <v>43314</v>
      </c>
      <c r="F41" s="771"/>
      <c r="G41" s="748"/>
    </row>
  </sheetData>
  <sheetProtection selectLockedCells="1" selectUnlockedCells="1"/>
  <mergeCells count="10">
    <mergeCell ref="E41:G41"/>
    <mergeCell ref="B28:C28"/>
    <mergeCell ref="B29:C29"/>
    <mergeCell ref="B24:E24"/>
    <mergeCell ref="C1:G2"/>
    <mergeCell ref="G3:H3"/>
    <mergeCell ref="F12:H12"/>
    <mergeCell ref="D14:E14"/>
    <mergeCell ref="F14:G14"/>
    <mergeCell ref="B23:E23"/>
  </mergeCells>
  <conditionalFormatting sqref="G30">
    <cfRule type="cellIs" dxfId="46" priority="1" operator="greaterThan">
      <formula>0</formula>
    </cfRule>
  </conditionalFormatting>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6"/>
  <dimension ref="A1:AB35"/>
  <sheetViews>
    <sheetView workbookViewId="0">
      <selection activeCell="R27" sqref="R27"/>
    </sheetView>
  </sheetViews>
  <sheetFormatPr baseColWidth="10" defaultRowHeight="12.75"/>
  <cols>
    <col min="1" max="1" width="9.85546875" style="509" customWidth="1"/>
    <col min="2" max="2" width="4.85546875" style="509" customWidth="1"/>
    <col min="3" max="3" width="4" style="509" customWidth="1"/>
    <col min="4" max="4" width="0.140625" style="509" customWidth="1"/>
    <col min="5" max="5" width="4.140625" style="509" customWidth="1"/>
    <col min="6" max="6" width="6" style="509" customWidth="1"/>
    <col min="7" max="7" width="5.28515625" style="509" customWidth="1"/>
    <col min="8" max="8" width="4" style="509" customWidth="1"/>
    <col min="9" max="9" width="5.28515625" style="509" customWidth="1"/>
    <col min="10" max="10" width="4.28515625" style="509" customWidth="1"/>
    <col min="11" max="12" width="5.28515625" style="509" customWidth="1"/>
    <col min="13" max="13" width="4" style="509" customWidth="1"/>
    <col min="14" max="14" width="4.28515625" style="509" customWidth="1"/>
    <col min="15" max="16" width="5.28515625" style="509" customWidth="1"/>
    <col min="17" max="17" width="1.42578125" style="509" customWidth="1"/>
    <col min="18" max="18" width="5.28515625" style="509" customWidth="1"/>
    <col min="19" max="19" width="4" style="509" customWidth="1"/>
    <col min="20" max="20" width="4.28515625" style="509" customWidth="1"/>
    <col min="21" max="22" width="5.28515625" style="509" customWidth="1"/>
    <col min="23" max="23" width="1.140625" style="509" customWidth="1"/>
    <col min="24" max="24" width="5.28515625" style="509" customWidth="1"/>
    <col min="25" max="25" width="4" style="509" customWidth="1"/>
    <col min="26" max="26" width="4.28515625" style="509" customWidth="1"/>
    <col min="27" max="28" width="5.28515625" style="509" customWidth="1"/>
    <col min="29" max="16384" width="11.42578125" style="509"/>
  </cols>
  <sheetData>
    <row r="1" spans="1:28" s="611" customFormat="1" ht="27.75" customHeight="1">
      <c r="B1" s="700" t="s">
        <v>856</v>
      </c>
      <c r="C1" s="701"/>
      <c r="D1" s="702"/>
      <c r="E1" s="702"/>
      <c r="F1" s="702"/>
      <c r="G1" s="702"/>
      <c r="H1" s="702"/>
      <c r="I1" s="702"/>
      <c r="J1" s="702"/>
      <c r="K1" s="702"/>
      <c r="L1" s="702"/>
      <c r="M1" s="702"/>
      <c r="N1" s="702"/>
      <c r="O1" s="702"/>
      <c r="P1" s="702"/>
      <c r="Q1" s="703"/>
    </row>
    <row r="2" spans="1:28" s="611" customFormat="1" ht="27.75" customHeight="1">
      <c r="B2" s="277"/>
      <c r="C2" s="277"/>
      <c r="D2" s="242"/>
      <c r="E2" s="242"/>
      <c r="F2" s="572" t="s">
        <v>798</v>
      </c>
      <c r="G2" s="242"/>
      <c r="H2" s="242"/>
      <c r="I2" s="242"/>
      <c r="J2" s="242"/>
    </row>
    <row r="3" spans="1:28" ht="15" customHeight="1">
      <c r="A3" s="724" t="s">
        <v>399</v>
      </c>
      <c r="B3" s="725"/>
    </row>
    <row r="4" spans="1:28" ht="15">
      <c r="A4" s="274" t="s">
        <v>73</v>
      </c>
      <c r="B4" s="718" t="str">
        <f>prop_nom</f>
        <v>Mr dubosq</v>
      </c>
      <c r="C4" s="718"/>
      <c r="D4" s="699"/>
      <c r="E4" s="699"/>
      <c r="F4" s="699"/>
      <c r="G4" s="699"/>
      <c r="H4" s="699"/>
      <c r="I4" s="699"/>
      <c r="J4" s="699"/>
      <c r="K4" s="699"/>
      <c r="L4" s="244"/>
      <c r="M4" s="244"/>
      <c r="N4" s="244"/>
      <c r="O4" s="244"/>
      <c r="P4" s="244"/>
      <c r="Q4" s="244"/>
      <c r="R4" s="244"/>
      <c r="S4" s="244"/>
      <c r="T4" s="244"/>
      <c r="U4" s="244"/>
      <c r="V4" s="244"/>
      <c r="W4" s="244"/>
      <c r="X4" s="244"/>
      <c r="Y4" s="244"/>
      <c r="Z4" s="244"/>
      <c r="AA4" s="244"/>
      <c r="AB4" s="245"/>
    </row>
    <row r="5" spans="1:28">
      <c r="A5" s="275"/>
      <c r="B5" s="30"/>
      <c r="C5" s="30"/>
      <c r="D5" s="30"/>
      <c r="E5" s="30"/>
      <c r="F5" s="30"/>
      <c r="G5" s="30"/>
      <c r="H5" s="30"/>
      <c r="I5" s="30"/>
      <c r="J5" s="30"/>
      <c r="K5" s="30"/>
      <c r="L5" s="30"/>
      <c r="M5" s="30"/>
      <c r="N5" s="30"/>
      <c r="O5" s="30"/>
      <c r="P5" s="30"/>
      <c r="Q5" s="30"/>
      <c r="R5" s="30"/>
      <c r="S5" s="30"/>
      <c r="T5" s="30"/>
      <c r="U5" s="30"/>
      <c r="V5" s="30"/>
      <c r="W5" s="30"/>
      <c r="X5" s="30"/>
      <c r="Y5" s="30"/>
      <c r="Z5" s="30"/>
      <c r="AA5" s="30"/>
      <c r="AB5" s="246"/>
    </row>
    <row r="6" spans="1:28">
      <c r="A6" s="275" t="s">
        <v>34</v>
      </c>
      <c r="B6" s="689" t="str">
        <f>prop_adr</f>
        <v>6 rue des aules</v>
      </c>
      <c r="C6" s="690"/>
      <c r="D6" s="690"/>
      <c r="E6" s="690"/>
      <c r="F6" s="690"/>
      <c r="G6" s="690"/>
      <c r="H6" s="690"/>
      <c r="I6" s="690"/>
      <c r="J6" s="690" t="str">
        <f>prop_adr1</f>
        <v/>
      </c>
      <c r="K6" s="690"/>
      <c r="L6" s="690"/>
      <c r="M6" s="690"/>
      <c r="N6" s="690"/>
      <c r="O6" s="690"/>
      <c r="P6" s="610" t="s">
        <v>398</v>
      </c>
      <c r="Q6" s="607"/>
      <c r="R6" s="607">
        <f>prop_cp</f>
        <v>75960</v>
      </c>
      <c r="S6" s="30"/>
      <c r="T6" s="30" t="s">
        <v>400</v>
      </c>
      <c r="U6" s="690" t="str">
        <f>prop_ville</f>
        <v>tataouine</v>
      </c>
      <c r="V6" s="690"/>
      <c r="W6" s="690"/>
      <c r="X6" s="690"/>
      <c r="Y6" s="690"/>
      <c r="Z6" s="690"/>
      <c r="AA6" s="690"/>
      <c r="AB6" s="653"/>
    </row>
    <row r="7" spans="1:28">
      <c r="A7" s="287" t="s">
        <v>105</v>
      </c>
      <c r="B7" s="30"/>
      <c r="C7" s="608" t="s">
        <v>244</v>
      </c>
      <c r="D7" s="689" t="str">
        <f>prop_tel</f>
        <v>01 02 03 04 05</v>
      </c>
      <c r="E7" s="690"/>
      <c r="F7" s="690"/>
      <c r="G7" s="30"/>
      <c r="H7" s="694" t="s">
        <v>245</v>
      </c>
      <c r="I7" s="690"/>
      <c r="J7" s="690" t="str">
        <f>prop_portable</f>
        <v>06 07 06 07 06</v>
      </c>
      <c r="K7" s="690"/>
      <c r="L7" s="690"/>
      <c r="M7" s="30"/>
      <c r="N7" s="30"/>
      <c r="O7" s="30"/>
      <c r="P7" s="30"/>
      <c r="Q7" s="30"/>
      <c r="R7" s="30"/>
      <c r="S7" s="30"/>
      <c r="T7" s="30"/>
      <c r="U7" s="30"/>
      <c r="V7" s="30"/>
      <c r="W7" s="30"/>
      <c r="X7" s="30"/>
      <c r="Y7" s="30"/>
      <c r="Z7" s="30"/>
      <c r="AA7" s="30"/>
      <c r="AB7" s="246"/>
    </row>
    <row r="8" spans="1:28">
      <c r="A8" s="276" t="s">
        <v>107</v>
      </c>
      <c r="B8" s="695" t="str">
        <f>prop_mail</f>
        <v>demo38@gmail.com</v>
      </c>
      <c r="C8" s="696"/>
      <c r="D8" s="696"/>
      <c r="E8" s="696"/>
      <c r="F8" s="696"/>
      <c r="G8" s="696"/>
      <c r="H8" s="696"/>
      <c r="I8" s="696"/>
      <c r="J8" s="696"/>
      <c r="K8" s="696"/>
      <c r="L8" s="247"/>
      <c r="M8" s="247"/>
      <c r="N8" s="247"/>
      <c r="O8" s="247"/>
      <c r="P8" s="247"/>
      <c r="Q8" s="247"/>
      <c r="R8" s="247"/>
      <c r="S8" s="247"/>
      <c r="T8" s="247"/>
      <c r="U8" s="247"/>
      <c r="V8" s="247"/>
      <c r="W8" s="247"/>
      <c r="X8" s="247"/>
      <c r="Y8" s="247"/>
      <c r="Z8" s="247"/>
      <c r="AA8" s="247"/>
      <c r="AB8" s="248"/>
    </row>
    <row r="9" spans="1:28">
      <c r="A9" s="30" t="s">
        <v>25</v>
      </c>
      <c r="B9" s="30"/>
      <c r="C9" s="30"/>
      <c r="D9" s="30"/>
      <c r="E9" s="30"/>
      <c r="F9" s="30"/>
      <c r="G9" s="30"/>
      <c r="H9" s="30"/>
      <c r="I9" s="30"/>
      <c r="K9" s="18"/>
    </row>
    <row r="10" spans="1:28">
      <c r="A10" s="282" t="s">
        <v>397</v>
      </c>
      <c r="B10" s="30"/>
      <c r="C10" s="30"/>
      <c r="D10" s="30"/>
      <c r="E10" s="30"/>
      <c r="F10" s="30"/>
      <c r="G10" s="30"/>
      <c r="H10" s="30"/>
      <c r="I10" s="30"/>
      <c r="K10" s="18"/>
      <c r="O10" s="247"/>
      <c r="P10" s="247"/>
      <c r="Q10" s="247"/>
      <c r="R10" s="247"/>
      <c r="S10" s="247"/>
      <c r="T10" s="247"/>
    </row>
    <row r="11" spans="1:28" ht="39">
      <c r="A11" s="350"/>
      <c r="B11" s="244"/>
      <c r="C11" s="244"/>
      <c r="D11" s="244"/>
      <c r="E11" s="565" t="s">
        <v>9</v>
      </c>
      <c r="F11" s="565" t="s">
        <v>65</v>
      </c>
      <c r="G11" s="244"/>
      <c r="H11" s="697" t="s">
        <v>661</v>
      </c>
      <c r="I11" s="698"/>
      <c r="J11" s="698"/>
      <c r="K11" s="698"/>
      <c r="L11" s="699"/>
      <c r="M11" s="244"/>
      <c r="N11" s="244"/>
      <c r="O11" s="721" t="s">
        <v>489</v>
      </c>
      <c r="P11" s="722"/>
      <c r="Q11" s="722"/>
      <c r="R11" s="722"/>
      <c r="S11" s="722"/>
      <c r="T11" s="723"/>
      <c r="U11" s="541"/>
      <c r="V11" s="244"/>
      <c r="W11" s="244"/>
      <c r="X11" s="244"/>
      <c r="Y11" s="244"/>
      <c r="Z11" s="244"/>
      <c r="AA11" s="244"/>
      <c r="AB11" s="245"/>
    </row>
    <row r="12" spans="1:28">
      <c r="A12" s="708" t="str">
        <f>IF(appt_1&lt;&gt;"En attente",appt_1,"")</f>
        <v>Le_carrare</v>
      </c>
      <c r="B12" s="709"/>
      <c r="C12" s="709"/>
      <c r="D12" s="30"/>
      <c r="E12" s="333" t="str">
        <f>appt_loy_1</f>
        <v>290</v>
      </c>
      <c r="F12" s="333" t="str">
        <f>appt_charg_1</f>
        <v>50</v>
      </c>
      <c r="G12" s="30"/>
      <c r="H12" s="690" t="s">
        <v>112</v>
      </c>
      <c r="I12" s="690"/>
      <c r="J12" s="690"/>
      <c r="K12" s="690"/>
      <c r="L12" s="652"/>
      <c r="M12" s="30"/>
      <c r="N12" s="30"/>
      <c r="O12" s="607" t="s">
        <v>112</v>
      </c>
      <c r="P12" s="30"/>
      <c r="Q12" s="30"/>
      <c r="S12" s="30"/>
      <c r="T12" s="30"/>
      <c r="U12" s="30"/>
      <c r="V12" s="30"/>
      <c r="W12" s="30"/>
      <c r="X12" s="30"/>
      <c r="Y12" s="30"/>
      <c r="Z12" s="30"/>
      <c r="AA12" s="30"/>
      <c r="AB12" s="246"/>
    </row>
    <row r="13" spans="1:28" ht="12.75" customHeight="1">
      <c r="A13" s="710" t="str">
        <f>IF(appt_2&lt;&gt;"En attente",appt_2,"")</f>
        <v/>
      </c>
      <c r="B13" s="711"/>
      <c r="C13" s="711"/>
      <c r="D13" s="30"/>
      <c r="E13" s="333" t="str">
        <f>appt_loy_2</f>
        <v/>
      </c>
      <c r="F13" s="333" t="str">
        <f>appt_charg_2</f>
        <v/>
      </c>
      <c r="G13" s="30"/>
      <c r="H13" s="690" t="s">
        <v>507</v>
      </c>
      <c r="I13" s="690"/>
      <c r="J13" s="690"/>
      <c r="K13" s="690"/>
      <c r="L13" s="652"/>
      <c r="M13" s="30"/>
      <c r="N13" s="30"/>
      <c r="O13" s="607" t="s">
        <v>507</v>
      </c>
      <c r="P13" s="30"/>
      <c r="Q13" s="30"/>
      <c r="S13" s="30"/>
      <c r="T13" s="30"/>
      <c r="U13" s="30"/>
      <c r="V13" s="30"/>
      <c r="W13" s="30"/>
      <c r="X13" s="30"/>
      <c r="Y13" s="30"/>
      <c r="Z13" s="30"/>
      <c r="AA13" s="30"/>
      <c r="AB13" s="246"/>
    </row>
    <row r="14" spans="1:28">
      <c r="A14" s="712" t="str">
        <f>IF(appt_3&lt;&gt;"En attente",appt_3,"")</f>
        <v/>
      </c>
      <c r="B14" s="713"/>
      <c r="C14" s="713"/>
      <c r="D14" s="30"/>
      <c r="E14" s="344" t="str">
        <f>IF(A14&lt;&gt;"",appt_loy_3,"")</f>
        <v/>
      </c>
      <c r="F14" s="333" t="str">
        <f>appt_charg_3</f>
        <v/>
      </c>
      <c r="G14" s="30"/>
      <c r="H14" s="690" t="s">
        <v>520</v>
      </c>
      <c r="I14" s="690"/>
      <c r="J14" s="690"/>
      <c r="K14" s="690"/>
      <c r="L14" s="652"/>
      <c r="M14" s="30"/>
      <c r="N14" s="30"/>
      <c r="O14" s="607" t="s">
        <v>520</v>
      </c>
      <c r="P14" s="30"/>
      <c r="Q14" s="30"/>
      <c r="S14" s="30"/>
      <c r="T14" s="30"/>
      <c r="U14" s="30"/>
      <c r="V14" s="30"/>
      <c r="W14" s="30"/>
      <c r="X14" s="30"/>
      <c r="Y14" s="30"/>
      <c r="Z14" s="30"/>
      <c r="AA14" s="30"/>
      <c r="AB14" s="246"/>
    </row>
    <row r="15" spans="1:28">
      <c r="A15" s="714" t="str">
        <f>IF(appt_4&lt;&gt;"En attente",appt_4,"")</f>
        <v/>
      </c>
      <c r="B15" s="715"/>
      <c r="C15" s="715"/>
      <c r="D15" s="30"/>
      <c r="E15" s="344" t="str">
        <f>IF(A15&lt;&gt;"",appt_loy_4,"")</f>
        <v/>
      </c>
      <c r="F15" s="333" t="str">
        <f>appt_charg_4</f>
        <v/>
      </c>
      <c r="G15" s="30"/>
      <c r="H15" s="690" t="s">
        <v>490</v>
      </c>
      <c r="I15" s="652"/>
      <c r="J15" s="652"/>
      <c r="K15" s="652"/>
      <c r="L15" s="652"/>
      <c r="M15" s="30"/>
      <c r="N15" s="30"/>
      <c r="O15" s="607" t="s">
        <v>490</v>
      </c>
      <c r="P15" s="30"/>
      <c r="Q15" s="30"/>
      <c r="S15" s="30"/>
      <c r="T15" s="30"/>
      <c r="U15" s="30"/>
      <c r="V15" s="30"/>
      <c r="W15" s="30"/>
      <c r="X15" s="30"/>
      <c r="Y15" s="30"/>
      <c r="Z15" s="30"/>
      <c r="AA15" s="30"/>
      <c r="AB15" s="246"/>
    </row>
    <row r="16" spans="1:28">
      <c r="A16" s="716" t="str">
        <f>IF(appt_5&lt;&gt;"En attente",appt_5,"")</f>
        <v/>
      </c>
      <c r="B16" s="717"/>
      <c r="C16" s="717"/>
      <c r="D16" s="247"/>
      <c r="E16" s="351" t="str">
        <f>IF(A16&lt;&gt;"",appt_loy_5,"")</f>
        <v/>
      </c>
      <c r="F16" s="351" t="str">
        <f>IF(A16&lt;&gt;"",appt_charg_5,"")</f>
        <v/>
      </c>
      <c r="G16" s="247"/>
      <c r="H16" s="696"/>
      <c r="I16" s="696"/>
      <c r="J16" s="696"/>
      <c r="K16" s="696"/>
      <c r="L16" s="247"/>
      <c r="M16" s="247"/>
      <c r="N16" s="247"/>
      <c r="O16" s="247"/>
      <c r="P16" s="247"/>
      <c r="Q16" s="247"/>
      <c r="R16" s="609"/>
      <c r="S16" s="247"/>
      <c r="T16" s="247"/>
      <c r="U16" s="247"/>
      <c r="V16" s="247"/>
      <c r="W16" s="247"/>
      <c r="X16" s="247"/>
      <c r="Y16" s="247"/>
      <c r="Z16" s="247"/>
      <c r="AA16" s="247"/>
      <c r="AB16" s="248"/>
    </row>
    <row r="17" spans="1:15">
      <c r="A17" s="30"/>
      <c r="B17" s="30"/>
      <c r="C17" s="30"/>
      <c r="D17" s="30"/>
      <c r="E17" s="30"/>
      <c r="F17" s="30"/>
      <c r="G17" s="30"/>
      <c r="H17" s="30"/>
      <c r="I17" s="30"/>
      <c r="K17" s="18"/>
    </row>
    <row r="19" spans="1:15" ht="15.75" customHeight="1"/>
    <row r="20" spans="1:15">
      <c r="B20" s="727" t="s">
        <v>799</v>
      </c>
      <c r="C20" s="728"/>
      <c r="D20" s="13"/>
      <c r="E20" s="727" t="s">
        <v>801</v>
      </c>
      <c r="F20" s="728"/>
      <c r="G20" s="727" t="s">
        <v>803</v>
      </c>
      <c r="H20" s="728"/>
      <c r="I20" s="727" t="s">
        <v>802</v>
      </c>
      <c r="J20" s="728"/>
    </row>
    <row r="21" spans="1:15">
      <c r="A21" s="61">
        <v>2009</v>
      </c>
      <c r="B21" s="726"/>
      <c r="C21" s="723"/>
      <c r="D21" s="341"/>
      <c r="E21" s="726"/>
      <c r="F21" s="723"/>
      <c r="G21" s="726"/>
      <c r="H21" s="723"/>
      <c r="I21" s="726"/>
      <c r="J21" s="723"/>
      <c r="O21" s="509" t="s">
        <v>857</v>
      </c>
    </row>
    <row r="22" spans="1:15">
      <c r="A22" s="61">
        <f>A21+1</f>
        <v>2010</v>
      </c>
      <c r="B22" s="726"/>
      <c r="C22" s="723"/>
      <c r="D22" s="341"/>
      <c r="E22" s="726"/>
      <c r="F22" s="723"/>
      <c r="G22" s="726"/>
      <c r="H22" s="723"/>
      <c r="I22" s="726"/>
      <c r="J22" s="723"/>
    </row>
    <row r="23" spans="1:15">
      <c r="A23" s="61">
        <f t="shared" ref="A23:A33" si="0">A22+1</f>
        <v>2011</v>
      </c>
      <c r="B23" s="726"/>
      <c r="C23" s="723"/>
      <c r="D23" s="341"/>
      <c r="E23" s="726"/>
      <c r="F23" s="723"/>
      <c r="G23" s="726"/>
      <c r="H23" s="723"/>
      <c r="I23" s="726"/>
      <c r="J23" s="723"/>
    </row>
    <row r="24" spans="1:15">
      <c r="A24" s="61">
        <f t="shared" si="0"/>
        <v>2012</v>
      </c>
      <c r="B24" s="726"/>
      <c r="C24" s="723"/>
      <c r="D24" s="341"/>
      <c r="E24" s="726"/>
      <c r="F24" s="723"/>
      <c r="G24" s="726"/>
      <c r="H24" s="723"/>
      <c r="I24" s="726"/>
      <c r="J24" s="723"/>
    </row>
    <row r="25" spans="1:15">
      <c r="A25" s="61">
        <f t="shared" si="0"/>
        <v>2013</v>
      </c>
      <c r="B25" s="726"/>
      <c r="C25" s="723"/>
      <c r="D25" s="341"/>
      <c r="E25" s="726"/>
      <c r="F25" s="723"/>
      <c r="G25" s="726"/>
      <c r="H25" s="723"/>
      <c r="I25" s="726"/>
      <c r="J25" s="723"/>
    </row>
    <row r="26" spans="1:15">
      <c r="A26" s="61">
        <f t="shared" si="0"/>
        <v>2014</v>
      </c>
      <c r="B26" s="726"/>
      <c r="C26" s="723"/>
      <c r="D26" s="341"/>
      <c r="E26" s="726"/>
      <c r="F26" s="723"/>
      <c r="G26" s="726"/>
      <c r="H26" s="723"/>
      <c r="I26" s="726"/>
      <c r="J26" s="723"/>
    </row>
    <row r="27" spans="1:15">
      <c r="A27" s="61">
        <f t="shared" si="0"/>
        <v>2015</v>
      </c>
      <c r="B27" s="726"/>
      <c r="C27" s="723"/>
      <c r="D27" s="341"/>
      <c r="E27" s="726"/>
      <c r="F27" s="723"/>
      <c r="G27" s="726"/>
      <c r="H27" s="723"/>
      <c r="I27" s="726"/>
      <c r="J27" s="723"/>
    </row>
    <row r="28" spans="1:15">
      <c r="A28" s="61">
        <f t="shared" si="0"/>
        <v>2016</v>
      </c>
      <c r="B28" s="726"/>
      <c r="C28" s="723"/>
      <c r="D28" s="341"/>
      <c r="E28" s="726"/>
      <c r="F28" s="723"/>
      <c r="G28" s="726"/>
      <c r="H28" s="723"/>
      <c r="I28" s="726"/>
      <c r="J28" s="723"/>
    </row>
    <row r="29" spans="1:15">
      <c r="A29" s="61">
        <f t="shared" si="0"/>
        <v>2017</v>
      </c>
      <c r="B29" s="726"/>
      <c r="C29" s="723"/>
      <c r="D29" s="341"/>
      <c r="E29" s="726"/>
      <c r="F29" s="723"/>
      <c r="G29" s="726"/>
      <c r="H29" s="723"/>
      <c r="I29" s="726"/>
      <c r="J29" s="723"/>
    </row>
    <row r="30" spans="1:15">
      <c r="A30" s="61">
        <f t="shared" si="0"/>
        <v>2018</v>
      </c>
      <c r="B30" s="726"/>
      <c r="C30" s="723"/>
      <c r="D30" s="341"/>
      <c r="E30" s="726"/>
      <c r="F30" s="723"/>
      <c r="G30" s="726"/>
      <c r="H30" s="723"/>
      <c r="I30" s="726"/>
      <c r="J30" s="723"/>
    </row>
    <row r="31" spans="1:15">
      <c r="A31" s="61">
        <f t="shared" si="0"/>
        <v>2019</v>
      </c>
      <c r="B31" s="726"/>
      <c r="C31" s="723"/>
      <c r="D31" s="341"/>
      <c r="E31" s="726"/>
      <c r="F31" s="723"/>
      <c r="G31" s="726"/>
      <c r="H31" s="723"/>
      <c r="I31" s="726"/>
      <c r="J31" s="723"/>
    </row>
    <row r="32" spans="1:15">
      <c r="A32" s="61">
        <f t="shared" si="0"/>
        <v>2020</v>
      </c>
      <c r="B32" s="726"/>
      <c r="C32" s="723"/>
      <c r="D32" s="341"/>
      <c r="E32" s="726"/>
      <c r="F32" s="723"/>
      <c r="G32" s="726"/>
      <c r="H32" s="723"/>
      <c r="I32" s="726"/>
      <c r="J32" s="723"/>
    </row>
    <row r="33" spans="1:28">
      <c r="A33" s="61">
        <f t="shared" si="0"/>
        <v>2021</v>
      </c>
      <c r="B33" s="65"/>
      <c r="F33" s="564"/>
      <c r="G33" s="65"/>
      <c r="K33" s="564"/>
      <c r="L33" s="65"/>
      <c r="P33" s="564"/>
      <c r="R33" s="65"/>
      <c r="X33" s="65"/>
    </row>
    <row r="35" spans="1:28">
      <c r="A35" s="509" t="s">
        <v>663</v>
      </c>
      <c r="B35" s="688">
        <f ca="1">TODAY()</f>
        <v>43335</v>
      </c>
      <c r="C35" s="688"/>
      <c r="D35" s="688"/>
      <c r="E35" s="688"/>
      <c r="F35" s="688"/>
      <c r="X35" s="503" t="str">
        <f>"Logiciel CLOEMA (" &amp; cod_version &amp; ")"</f>
        <v>Logiciel CLOEMA (V202_f)</v>
      </c>
      <c r="AB35" s="65"/>
    </row>
  </sheetData>
  <mergeCells count="75">
    <mergeCell ref="U6:AB6"/>
    <mergeCell ref="O11:T11"/>
    <mergeCell ref="B1:Q1"/>
    <mergeCell ref="A3:B3"/>
    <mergeCell ref="B4:K4"/>
    <mergeCell ref="B6:I6"/>
    <mergeCell ref="J6:O6"/>
    <mergeCell ref="D7:F7"/>
    <mergeCell ref="H7:I7"/>
    <mergeCell ref="J7:L7"/>
    <mergeCell ref="B8:K8"/>
    <mergeCell ref="H11:L11"/>
    <mergeCell ref="A12:C12"/>
    <mergeCell ref="H12:L12"/>
    <mergeCell ref="A13:C13"/>
    <mergeCell ref="H13:L13"/>
    <mergeCell ref="A14:C14"/>
    <mergeCell ref="H14:L14"/>
    <mergeCell ref="A15:C15"/>
    <mergeCell ref="H15:L15"/>
    <mergeCell ref="A16:C16"/>
    <mergeCell ref="H16:K16"/>
    <mergeCell ref="B20:C20"/>
    <mergeCell ref="E20:F20"/>
    <mergeCell ref="G20:H20"/>
    <mergeCell ref="I20:J20"/>
    <mergeCell ref="B21:C21"/>
    <mergeCell ref="E21:F21"/>
    <mergeCell ref="G21:H21"/>
    <mergeCell ref="I21:J21"/>
    <mergeCell ref="B22:C22"/>
    <mergeCell ref="E22:F22"/>
    <mergeCell ref="G22:H22"/>
    <mergeCell ref="I22:J22"/>
    <mergeCell ref="B23:C23"/>
    <mergeCell ref="E23:F23"/>
    <mergeCell ref="G23:H23"/>
    <mergeCell ref="I23:J23"/>
    <mergeCell ref="B24:C24"/>
    <mergeCell ref="E24:F24"/>
    <mergeCell ref="G24:H24"/>
    <mergeCell ref="I24:J24"/>
    <mergeCell ref="B25:C25"/>
    <mergeCell ref="E25:F25"/>
    <mergeCell ref="G25:H25"/>
    <mergeCell ref="I25:J25"/>
    <mergeCell ref="B26:C26"/>
    <mergeCell ref="E26:F26"/>
    <mergeCell ref="G26:H26"/>
    <mergeCell ref="I26:J26"/>
    <mergeCell ref="B27:C27"/>
    <mergeCell ref="E27:F27"/>
    <mergeCell ref="G27:H27"/>
    <mergeCell ref="I27:J27"/>
    <mergeCell ref="B28:C28"/>
    <mergeCell ref="E28:F28"/>
    <mergeCell ref="G28:H28"/>
    <mergeCell ref="I28:J28"/>
    <mergeCell ref="B29:C29"/>
    <mergeCell ref="E29:F29"/>
    <mergeCell ref="G29:H29"/>
    <mergeCell ref="I29:J29"/>
    <mergeCell ref="B30:C30"/>
    <mergeCell ref="E30:F30"/>
    <mergeCell ref="G30:H30"/>
    <mergeCell ref="I30:J30"/>
    <mergeCell ref="B35:F35"/>
    <mergeCell ref="B31:C31"/>
    <mergeCell ref="E31:F31"/>
    <mergeCell ref="G31:H31"/>
    <mergeCell ref="I31:J31"/>
    <mergeCell ref="B32:C32"/>
    <mergeCell ref="E32:F32"/>
    <mergeCell ref="G32:H32"/>
    <mergeCell ref="I32:J32"/>
  </mergeCells>
  <conditionalFormatting sqref="R16 O12:O15">
    <cfRule type="cellIs" dxfId="45" priority="8" operator="equal">
      <formula>"logement vacant"</formula>
    </cfRule>
  </conditionalFormatting>
  <conditionalFormatting sqref="G33">
    <cfRule type="cellIs" dxfId="44" priority="7" operator="equal">
      <formula>"Remise accordée sur loyer"</formula>
    </cfRule>
  </conditionalFormatting>
  <conditionalFormatting sqref="B33">
    <cfRule type="cellIs" dxfId="43" priority="6" operator="equal">
      <formula>"Remise accordée sur loyer"</formula>
    </cfRule>
  </conditionalFormatting>
  <conditionalFormatting sqref="L33">
    <cfRule type="cellIs" dxfId="42" priority="5" operator="equal">
      <formula>"Remise accordée sur loyer"</formula>
    </cfRule>
  </conditionalFormatting>
  <conditionalFormatting sqref="R33">
    <cfRule type="cellIs" dxfId="41" priority="4" operator="equal">
      <formula>"Remise accordée sur loyer"</formula>
    </cfRule>
  </conditionalFormatting>
  <conditionalFormatting sqref="X33">
    <cfRule type="cellIs" dxfId="40" priority="3" operator="equal">
      <formula>"Remise accordée sur loyer"</formula>
    </cfRule>
  </conditionalFormatting>
  <conditionalFormatting sqref="H15">
    <cfRule type="cellIs" dxfId="39" priority="2" operator="equal">
      <formula>"logement vacant"</formula>
    </cfRule>
  </conditionalFormatting>
  <conditionalFormatting sqref="X35">
    <cfRule type="cellIs" dxfId="38" priority="1" operator="equal">
      <formula>""</formula>
    </cfRule>
  </conditionalFormatting>
  <pageMargins left="7.874015748031496E-2" right="7.874015748031496E-2" top="0.19685039370078741" bottom="0.19685039370078741" header="0.31496062992125984" footer="0.31496062992125984"/>
  <pageSetup paperSize="9" orientation="landscape"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2"/>
  <dimension ref="A1:K47"/>
  <sheetViews>
    <sheetView workbookViewId="0">
      <selection activeCell="A49" sqref="A49"/>
    </sheetView>
  </sheetViews>
  <sheetFormatPr baseColWidth="10" defaultRowHeight="12.75"/>
  <cols>
    <col min="1" max="1" width="12.28515625" style="490" customWidth="1"/>
    <col min="2" max="2" width="15.28515625" style="490" customWidth="1"/>
    <col min="3" max="4" width="11.42578125" style="490"/>
    <col min="5" max="5" width="9.28515625" style="490" customWidth="1"/>
    <col min="6" max="6" width="8.85546875" style="490" customWidth="1"/>
    <col min="7" max="7" width="11.5703125" style="490" customWidth="1"/>
    <col min="8" max="8" width="6.85546875" style="490" customWidth="1"/>
    <col min="9" max="16384" width="11.42578125" style="490"/>
  </cols>
  <sheetData>
    <row r="1" spans="1:8" ht="15">
      <c r="A1" s="27" t="str">
        <f>prop_nom</f>
        <v>Mr dubosq</v>
      </c>
      <c r="C1" s="774" t="s">
        <v>440</v>
      </c>
      <c r="D1" s="774"/>
      <c r="E1" s="774"/>
      <c r="F1" s="774"/>
      <c r="G1" s="774"/>
    </row>
    <row r="2" spans="1:8" ht="15">
      <c r="A2" s="27" t="str">
        <f>prop_adr</f>
        <v>6 rue des aules</v>
      </c>
      <c r="C2" s="774"/>
      <c r="D2" s="774"/>
      <c r="E2" s="774"/>
      <c r="F2" s="774"/>
      <c r="G2" s="774"/>
    </row>
    <row r="3" spans="1:8" ht="15.75">
      <c r="A3" s="27" t="str">
        <f>prop_cp&amp;" "&amp;prop_ville</f>
        <v>75960 tataouine</v>
      </c>
      <c r="G3" s="775" t="s">
        <v>139</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492" t="s">
        <v>24</v>
      </c>
      <c r="F12" s="776" t="s">
        <v>78</v>
      </c>
      <c r="G12" s="776"/>
      <c r="H12" s="776"/>
    </row>
    <row r="13" spans="1:8" ht="15">
      <c r="D13" s="27"/>
      <c r="F13" s="490" t="s">
        <v>25</v>
      </c>
    </row>
    <row r="14" spans="1:8" ht="17.25" customHeight="1">
      <c r="A14" s="493" t="s">
        <v>42</v>
      </c>
      <c r="B14" s="26"/>
      <c r="C14" s="26"/>
      <c r="D14" s="777" t="s">
        <v>26</v>
      </c>
      <c r="E14" s="777"/>
      <c r="F14" s="778" t="s">
        <v>57</v>
      </c>
      <c r="G14" s="778"/>
      <c r="H14" s="27"/>
    </row>
    <row r="15" spans="1:8" ht="15" customHeight="1">
      <c r="A15" s="26"/>
      <c r="B15" s="26"/>
      <c r="C15" s="26"/>
      <c r="D15" s="27"/>
      <c r="E15" s="27"/>
      <c r="F15" s="28" t="s">
        <v>51</v>
      </c>
      <c r="G15" s="28"/>
      <c r="H15" s="28"/>
    </row>
    <row r="16" spans="1:8" ht="15" customHeight="1">
      <c r="A16" s="26"/>
      <c r="B16" s="26"/>
      <c r="C16" s="26"/>
      <c r="D16" s="27"/>
      <c r="E16" s="27"/>
      <c r="F16" s="28"/>
      <c r="G16" s="28"/>
      <c r="H16" s="28"/>
    </row>
    <row r="17" spans="1:11" ht="15" customHeight="1">
      <c r="A17" s="26"/>
      <c r="B17" s="26"/>
      <c r="C17" s="26"/>
      <c r="D17" s="27"/>
      <c r="E17" s="27"/>
      <c r="F17" s="28"/>
      <c r="G17" s="28"/>
      <c r="H17" s="28"/>
    </row>
    <row r="18" spans="1:11" ht="12.75" customHeight="1">
      <c r="A18" s="30"/>
      <c r="B18" s="30"/>
      <c r="C18" s="30"/>
    </row>
    <row r="19" spans="1:11" ht="6" customHeight="1">
      <c r="B19" s="31"/>
      <c r="C19" s="32"/>
      <c r="D19" s="32"/>
      <c r="E19" s="32"/>
      <c r="F19" s="31"/>
      <c r="G19" s="33"/>
    </row>
    <row r="20" spans="1:11" ht="19.5" customHeight="1">
      <c r="B20" s="34"/>
      <c r="C20" s="30"/>
      <c r="D20" s="30"/>
      <c r="E20" s="30"/>
      <c r="F20" s="35"/>
      <c r="G20" s="36" t="s">
        <v>27</v>
      </c>
    </row>
    <row r="21" spans="1:11">
      <c r="B21" s="37"/>
      <c r="C21" s="38"/>
      <c r="D21" s="38"/>
      <c r="E21" s="38"/>
      <c r="F21" s="37"/>
      <c r="G21" s="39"/>
    </row>
    <row r="22" spans="1:11">
      <c r="B22" s="34"/>
      <c r="C22" s="30"/>
      <c r="D22" s="30"/>
      <c r="E22" s="30"/>
      <c r="F22" s="34"/>
      <c r="G22" s="40"/>
    </row>
    <row r="23" spans="1:11" ht="15">
      <c r="B23" s="773" t="s">
        <v>652</v>
      </c>
      <c r="C23" s="773"/>
      <c r="D23" s="773"/>
      <c r="E23" s="773"/>
      <c r="F23" s="41"/>
      <c r="G23" s="494">
        <v>59</v>
      </c>
    </row>
    <row r="24" spans="1:11">
      <c r="B24" s="779" t="s">
        <v>655</v>
      </c>
      <c r="C24" s="779"/>
      <c r="D24" s="779"/>
      <c r="E24" s="779"/>
      <c r="F24" s="43"/>
      <c r="G24" s="40"/>
    </row>
    <row r="25" spans="1:11" ht="15">
      <c r="B25" s="773" t="s">
        <v>653</v>
      </c>
      <c r="C25" s="773"/>
      <c r="D25" s="773"/>
      <c r="E25" s="773"/>
      <c r="F25" s="34"/>
      <c r="G25" s="40">
        <v>282</v>
      </c>
      <c r="J25"/>
      <c r="K25"/>
    </row>
    <row r="26" spans="1:11">
      <c r="B26" s="779" t="s">
        <v>656</v>
      </c>
      <c r="C26" s="779"/>
      <c r="D26" s="779"/>
      <c r="E26" s="779"/>
      <c r="F26" s="34"/>
      <c r="G26" s="47"/>
    </row>
    <row r="27" spans="1:11" ht="15">
      <c r="B27" s="491" t="s">
        <v>654</v>
      </c>
      <c r="C27" s="30"/>
      <c r="D27" s="489"/>
      <c r="E27" s="46"/>
      <c r="F27" s="34"/>
      <c r="G27" s="40">
        <v>329</v>
      </c>
    </row>
    <row r="28" spans="1:11">
      <c r="B28" s="779" t="s">
        <v>675</v>
      </c>
      <c r="C28" s="779"/>
      <c r="D28" s="779"/>
      <c r="E28" s="779"/>
      <c r="F28" s="34"/>
      <c r="G28" s="40"/>
    </row>
    <row r="29" spans="1:11">
      <c r="B29" s="34"/>
      <c r="C29" s="30"/>
      <c r="D29" s="30"/>
      <c r="E29" s="30"/>
      <c r="F29" s="34"/>
      <c r="G29" s="40"/>
    </row>
    <row r="30" spans="1:11">
      <c r="B30" s="34"/>
      <c r="C30" s="30"/>
      <c r="D30" s="30"/>
      <c r="E30" s="30"/>
      <c r="F30" s="34"/>
      <c r="G30" s="40"/>
    </row>
    <row r="31" spans="1:11">
      <c r="B31" s="34"/>
      <c r="C31" s="30"/>
      <c r="D31" s="30"/>
      <c r="E31" s="30"/>
      <c r="F31" s="34"/>
      <c r="G31" s="40"/>
    </row>
    <row r="32" spans="1:11">
      <c r="B32" s="34"/>
      <c r="C32" s="30"/>
      <c r="D32" s="30"/>
      <c r="E32" s="30"/>
      <c r="F32" s="34"/>
      <c r="G32" s="40"/>
    </row>
    <row r="33" spans="2:7">
      <c r="B33" s="34"/>
      <c r="C33" s="30"/>
      <c r="D33" s="30"/>
      <c r="E33" s="30"/>
      <c r="F33" s="34"/>
      <c r="G33" s="40"/>
    </row>
    <row r="34" spans="2:7">
      <c r="B34" s="37"/>
      <c r="C34" s="38"/>
      <c r="D34" s="38"/>
      <c r="E34" s="48" t="s">
        <v>30</v>
      </c>
      <c r="F34" s="49"/>
      <c r="G34" s="50">
        <f>SUM(G23:G33)</f>
        <v>670</v>
      </c>
    </row>
    <row r="39" spans="2:7" ht="18" customHeight="1">
      <c r="D39" s="2" t="s">
        <v>31</v>
      </c>
      <c r="E39" s="780">
        <v>42978</v>
      </c>
      <c r="F39" s="780"/>
    </row>
    <row r="42" spans="2:7">
      <c r="B42" s="490" t="s">
        <v>676</v>
      </c>
    </row>
    <row r="46" spans="2:7">
      <c r="B46" s="490" t="s">
        <v>678</v>
      </c>
    </row>
    <row r="47" spans="2:7">
      <c r="B47" s="19" t="s">
        <v>677</v>
      </c>
    </row>
  </sheetData>
  <sheetProtection selectLockedCells="1" selectUnlockedCells="1"/>
  <mergeCells count="11">
    <mergeCell ref="B24:E24"/>
    <mergeCell ref="E39:F39"/>
    <mergeCell ref="B25:E25"/>
    <mergeCell ref="B26:E26"/>
    <mergeCell ref="B28:E28"/>
    <mergeCell ref="B23:E23"/>
    <mergeCell ref="C1:G2"/>
    <mergeCell ref="G3:H3"/>
    <mergeCell ref="F12:H12"/>
    <mergeCell ref="D14:E14"/>
    <mergeCell ref="F14:G14"/>
  </mergeCells>
  <conditionalFormatting sqref="G28">
    <cfRule type="cellIs" dxfId="37" priority="1" operator="greaterThan">
      <formula>0</formula>
    </cfRule>
  </conditionalFormatting>
  <pageMargins left="0.35972222222222222" right="0.27986111111111112" top="0.77986111111111112" bottom="0.98402777777777772" header="0.51180555555555551" footer="0.51180555555555551"/>
  <pageSetup paperSize="9" firstPageNumber="0" orientation="portrait" r:id="rId1"/>
  <headerFooter alignWithMargins="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N30"/>
  <sheetViews>
    <sheetView workbookViewId="0">
      <selection activeCell="K34" sqref="K34"/>
    </sheetView>
  </sheetViews>
  <sheetFormatPr baseColWidth="10" defaultRowHeight="12.75"/>
  <cols>
    <col min="1" max="1" width="9.85546875" customWidth="1"/>
    <col min="2" max="5" width="7.7109375" customWidth="1"/>
  </cols>
  <sheetData>
    <row r="1" spans="1:14">
      <c r="A1" s="92" t="s">
        <v>61</v>
      </c>
      <c r="B1" s="639" t="s">
        <v>75</v>
      </c>
      <c r="C1" s="639"/>
      <c r="D1" s="639"/>
      <c r="E1" s="639"/>
    </row>
    <row r="2" spans="1:14">
      <c r="A2" s="9" t="s">
        <v>70</v>
      </c>
      <c r="B2" s="90">
        <v>1</v>
      </c>
      <c r="C2" s="90">
        <v>2</v>
      </c>
      <c r="D2" s="90">
        <v>3</v>
      </c>
      <c r="E2" s="90">
        <v>4</v>
      </c>
    </row>
    <row r="3" spans="1:14">
      <c r="G3">
        <v>2016</v>
      </c>
    </row>
    <row r="4" spans="1:14">
      <c r="A4" s="109">
        <v>2009</v>
      </c>
      <c r="B4" s="110">
        <v>117.7</v>
      </c>
      <c r="C4" s="111">
        <v>1</v>
      </c>
      <c r="D4" s="111">
        <v>2</v>
      </c>
      <c r="E4" s="111">
        <v>117.47</v>
      </c>
    </row>
    <row r="5" spans="1:14">
      <c r="A5" s="109">
        <v>2010</v>
      </c>
      <c r="B5" s="110">
        <v>117.81</v>
      </c>
      <c r="C5" s="111">
        <v>3</v>
      </c>
      <c r="D5" s="111">
        <v>4</v>
      </c>
      <c r="E5" s="111">
        <v>5</v>
      </c>
      <c r="K5" s="93"/>
      <c r="L5" s="76"/>
      <c r="M5" s="94"/>
      <c r="N5" s="95"/>
    </row>
    <row r="6" spans="1:14">
      <c r="A6" s="109">
        <f>A5+1</f>
        <v>2011</v>
      </c>
      <c r="B6" s="110">
        <v>119.69</v>
      </c>
      <c r="C6" s="111">
        <v>6</v>
      </c>
      <c r="D6" s="111">
        <v>7</v>
      </c>
      <c r="E6" s="111">
        <v>8</v>
      </c>
      <c r="K6" s="93"/>
      <c r="L6" s="76"/>
      <c r="M6" s="94"/>
      <c r="N6" s="95"/>
    </row>
    <row r="7" spans="1:14">
      <c r="A7" s="109">
        <f t="shared" ref="A7:A20" si="0">A6+1</f>
        <v>2012</v>
      </c>
      <c r="B7" s="110">
        <v>122.37</v>
      </c>
      <c r="C7" s="111">
        <v>9</v>
      </c>
      <c r="D7" s="111">
        <v>10</v>
      </c>
      <c r="E7" s="111">
        <v>11</v>
      </c>
      <c r="K7" s="93"/>
      <c r="L7" s="76"/>
      <c r="M7" s="94"/>
      <c r="N7" s="95"/>
    </row>
    <row r="8" spans="1:14">
      <c r="A8" s="109">
        <f t="shared" si="0"/>
        <v>2013</v>
      </c>
      <c r="B8" s="110">
        <v>124.25</v>
      </c>
      <c r="C8" s="111">
        <v>12</v>
      </c>
      <c r="D8" s="111">
        <v>13</v>
      </c>
      <c r="E8" s="111">
        <v>14</v>
      </c>
      <c r="K8" s="93"/>
      <c r="L8" s="76"/>
      <c r="M8" s="94"/>
      <c r="N8" s="95"/>
    </row>
    <row r="9" spans="1:14">
      <c r="A9" s="109">
        <f t="shared" si="0"/>
        <v>2014</v>
      </c>
      <c r="B9" s="110">
        <v>125</v>
      </c>
      <c r="C9" s="111">
        <v>15</v>
      </c>
      <c r="D9" s="111">
        <v>16</v>
      </c>
      <c r="E9" s="111">
        <v>17</v>
      </c>
      <c r="K9" s="93"/>
      <c r="L9" s="76"/>
      <c r="M9" s="94"/>
      <c r="N9" s="95"/>
    </row>
    <row r="10" spans="1:14">
      <c r="A10" s="109">
        <f t="shared" si="0"/>
        <v>2015</v>
      </c>
      <c r="B10" s="111">
        <v>125.19</v>
      </c>
      <c r="C10" s="111">
        <v>125.25</v>
      </c>
      <c r="D10" s="111">
        <v>125.26</v>
      </c>
      <c r="E10" s="111">
        <v>125.28</v>
      </c>
      <c r="I10" s="97"/>
      <c r="K10" s="93"/>
      <c r="L10" s="76"/>
      <c r="M10" s="94"/>
      <c r="N10" s="95"/>
    </row>
    <row r="11" spans="1:14">
      <c r="A11" s="109">
        <f t="shared" si="0"/>
        <v>2016</v>
      </c>
      <c r="B11" s="111">
        <v>125.26</v>
      </c>
      <c r="C11" s="111">
        <v>125.25</v>
      </c>
      <c r="D11" s="111">
        <v>125.26</v>
      </c>
      <c r="E11" s="111">
        <v>125.28</v>
      </c>
      <c r="K11" s="93"/>
      <c r="L11" s="76"/>
      <c r="M11" s="94"/>
      <c r="N11" s="95"/>
    </row>
    <row r="12" spans="1:14">
      <c r="A12" s="109">
        <f t="shared" si="0"/>
        <v>2017</v>
      </c>
      <c r="B12" s="111"/>
      <c r="C12" s="111"/>
      <c r="D12" s="111"/>
      <c r="E12" s="111"/>
      <c r="K12" s="93"/>
      <c r="L12" s="76"/>
      <c r="M12" s="94"/>
      <c r="N12" s="95"/>
    </row>
    <row r="13" spans="1:14">
      <c r="A13" s="109">
        <f t="shared" si="0"/>
        <v>2018</v>
      </c>
      <c r="B13" s="111"/>
      <c r="C13" s="111"/>
      <c r="D13" s="111"/>
      <c r="E13" s="111"/>
      <c r="K13" s="93"/>
      <c r="L13" s="76"/>
      <c r="M13" s="94"/>
      <c r="N13" s="95"/>
    </row>
    <row r="14" spans="1:14">
      <c r="A14" s="109">
        <f t="shared" si="0"/>
        <v>2019</v>
      </c>
      <c r="B14" s="111"/>
      <c r="C14" s="111"/>
      <c r="D14" s="111"/>
      <c r="E14" s="111"/>
      <c r="K14" s="93"/>
      <c r="L14" s="76"/>
      <c r="M14" s="94"/>
      <c r="N14" s="95"/>
    </row>
    <row r="15" spans="1:14">
      <c r="A15" s="109">
        <f t="shared" si="0"/>
        <v>2020</v>
      </c>
      <c r="B15" s="111"/>
      <c r="C15" s="111"/>
      <c r="D15" s="111"/>
      <c r="E15" s="111"/>
      <c r="K15" s="93"/>
      <c r="L15" s="76"/>
      <c r="M15" s="94"/>
      <c r="N15" s="95"/>
    </row>
    <row r="16" spans="1:14">
      <c r="A16" s="109">
        <f t="shared" si="0"/>
        <v>2021</v>
      </c>
      <c r="B16" s="111"/>
      <c r="C16" s="111"/>
      <c r="D16" s="111"/>
      <c r="E16" s="111"/>
    </row>
    <row r="17" spans="1:5">
      <c r="A17" s="109">
        <f t="shared" si="0"/>
        <v>2022</v>
      </c>
      <c r="B17" s="111"/>
      <c r="C17" s="111"/>
      <c r="D17" s="111"/>
      <c r="E17" s="111"/>
    </row>
    <row r="18" spans="1:5">
      <c r="A18" s="109">
        <f t="shared" si="0"/>
        <v>2023</v>
      </c>
      <c r="B18" s="111"/>
      <c r="C18" s="111"/>
      <c r="D18" s="111"/>
      <c r="E18" s="111"/>
    </row>
    <row r="19" spans="1:5">
      <c r="A19" s="109">
        <f t="shared" si="0"/>
        <v>2024</v>
      </c>
      <c r="B19" s="111"/>
      <c r="C19" s="111"/>
      <c r="D19" s="111"/>
      <c r="E19" s="111"/>
    </row>
    <row r="20" spans="1:5">
      <c r="A20" s="109">
        <f t="shared" si="0"/>
        <v>2025</v>
      </c>
      <c r="B20" s="111"/>
      <c r="C20" s="111"/>
      <c r="D20" s="111"/>
      <c r="E20" s="111"/>
    </row>
    <row r="23" spans="1:5">
      <c r="B23">
        <f>VLOOKUP(9^9,B4:B20,1)</f>
        <v>125.26</v>
      </c>
      <c r="C23">
        <f>VLOOKUP(9^9,C4:C20,1)</f>
        <v>125.25</v>
      </c>
      <c r="D23">
        <f>VLOOKUP(9^9,D4:D20,1)</f>
        <v>125.26</v>
      </c>
      <c r="E23">
        <f>VLOOKUP(9^9,E4:E20,1)</f>
        <v>125.28</v>
      </c>
    </row>
    <row r="28" spans="1:5">
      <c r="A28" s="141" t="s">
        <v>100</v>
      </c>
    </row>
    <row r="29" spans="1:5">
      <c r="A29" t="s">
        <v>99</v>
      </c>
    </row>
    <row r="30" spans="1:5">
      <c r="A30" t="s">
        <v>60</v>
      </c>
    </row>
  </sheetData>
  <mergeCells count="1">
    <mergeCell ref="B1:E1"/>
  </mergeCells>
  <hyperlinks>
    <hyperlink ref="A1" location="Accueil!A1" display="Accueil"/>
  </hyperlinks>
  <printOptions gridLines="1"/>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C4"/>
  <sheetViews>
    <sheetView workbookViewId="0">
      <pane xSplit="1" ySplit="1" topLeftCell="B2" activePane="bottomRight" state="frozen"/>
      <selection pane="topRight" activeCell="B1" sqref="B1"/>
      <selection pane="bottomLeft" activeCell="A2" sqref="A2"/>
      <selection pane="bottomRight" activeCell="A46" sqref="A46"/>
    </sheetView>
  </sheetViews>
  <sheetFormatPr baseColWidth="10" defaultRowHeight="12.75"/>
  <cols>
    <col min="3" max="3" width="77.42578125" customWidth="1"/>
  </cols>
  <sheetData>
    <row r="1" spans="1:3">
      <c r="A1" s="105" t="s">
        <v>61</v>
      </c>
    </row>
    <row r="2" spans="1:3">
      <c r="A2" s="147">
        <v>42709</v>
      </c>
      <c r="B2" t="s">
        <v>117</v>
      </c>
      <c r="C2" t="s">
        <v>128</v>
      </c>
    </row>
    <row r="3" spans="1:3">
      <c r="A3" s="147">
        <v>42739</v>
      </c>
      <c r="B3" t="s">
        <v>150</v>
      </c>
      <c r="C3" t="s">
        <v>151</v>
      </c>
    </row>
    <row r="4" spans="1:3">
      <c r="A4" s="147">
        <v>42769</v>
      </c>
      <c r="B4" t="s">
        <v>117</v>
      </c>
      <c r="C4" t="s">
        <v>173</v>
      </c>
    </row>
  </sheetData>
  <hyperlinks>
    <hyperlink ref="A1" location="Accueil!A1" display="Accueil"/>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Z30"/>
  <sheetViews>
    <sheetView workbookViewId="0">
      <selection activeCell="C3" sqref="C3:E3"/>
    </sheetView>
  </sheetViews>
  <sheetFormatPr baseColWidth="10" defaultRowHeight="12.75"/>
  <cols>
    <col min="1" max="1" width="12.5703125" customWidth="1"/>
    <col min="4" max="4" width="10.5703125" customWidth="1"/>
    <col min="5" max="5" width="9.5703125" customWidth="1"/>
    <col min="6" max="6" width="7.85546875" customWidth="1"/>
    <col min="7" max="8" width="10.5703125" customWidth="1"/>
    <col min="9" max="9" width="19.85546875" customWidth="1"/>
    <col min="10" max="10" width="9.42578125" customWidth="1"/>
    <col min="11" max="11" width="14.28515625" style="98" customWidth="1"/>
    <col min="12" max="12" width="31" customWidth="1"/>
    <col min="14" max="14" width="30.7109375" customWidth="1"/>
    <col min="15" max="15" width="3" customWidth="1"/>
    <col min="16" max="16" width="3.5703125" customWidth="1"/>
    <col min="17" max="17" width="3.85546875" customWidth="1"/>
    <col min="18" max="18" width="5.140625" customWidth="1"/>
    <col min="19" max="19" width="4.7109375" style="12" customWidth="1"/>
    <col min="20" max="20" width="16.5703125" style="65" customWidth="1"/>
    <col min="21" max="21" width="5.140625" style="65" customWidth="1"/>
    <col min="22" max="22" width="9.5703125" customWidth="1"/>
    <col min="23" max="23" width="8.140625" customWidth="1"/>
    <col min="24" max="24" width="9.28515625" customWidth="1"/>
    <col min="25" max="25" width="10" customWidth="1"/>
  </cols>
  <sheetData>
    <row r="1" spans="1:26">
      <c r="A1" s="1" t="s">
        <v>127</v>
      </c>
      <c r="B1" s="74" t="s">
        <v>61</v>
      </c>
    </row>
    <row r="2" spans="1:26" ht="15">
      <c r="B2" s="2" t="s">
        <v>0</v>
      </c>
      <c r="C2" s="781" t="str">
        <f>Proprietaire!C2</f>
        <v>Mr dubosq</v>
      </c>
      <c r="D2" s="781"/>
      <c r="E2" s="781" t="s">
        <v>2</v>
      </c>
      <c r="F2" s="781"/>
      <c r="G2" s="781"/>
      <c r="H2" s="68"/>
      <c r="I2" s="150"/>
      <c r="J2" s="782" t="s">
        <v>3</v>
      </c>
      <c r="K2" s="782"/>
      <c r="L2" s="3" t="s">
        <v>4</v>
      </c>
    </row>
    <row r="3" spans="1:26">
      <c r="B3" s="2" t="s">
        <v>5</v>
      </c>
      <c r="C3" s="783" t="e">
        <f>VLOOKUP(cod_logement,Logement!D4:AC8,2,0)</f>
        <v>#N/A</v>
      </c>
      <c r="D3" s="783"/>
      <c r="E3" s="783"/>
      <c r="F3" s="784" t="e">
        <f>VLOOKUP(cod_logement,Logement!D4:AC8,3,0)</f>
        <v>#N/A</v>
      </c>
      <c r="G3" s="784"/>
      <c r="H3" s="69"/>
      <c r="I3" s="151"/>
      <c r="J3" s="785" t="e">
        <f>VLOOKUP(cod_logement,Logement!D4:AC8,5,0)</f>
        <v>#N/A</v>
      </c>
      <c r="K3" s="785"/>
      <c r="L3" s="4"/>
      <c r="N3" s="64"/>
    </row>
    <row r="4" spans="1:26" ht="15">
      <c r="C4" s="5"/>
      <c r="D4" s="5"/>
      <c r="E4" s="5"/>
      <c r="F4" s="5"/>
      <c r="G4" s="5"/>
      <c r="H4" s="5"/>
      <c r="I4" s="5"/>
      <c r="J4" s="6"/>
      <c r="K4" s="99"/>
      <c r="L4" s="7"/>
      <c r="W4" s="786" t="s">
        <v>114</v>
      </c>
      <c r="X4" s="786"/>
      <c r="Y4" s="675"/>
      <c r="Z4" t="s">
        <v>149</v>
      </c>
    </row>
    <row r="5" spans="1:26" s="12" customFormat="1" ht="67.5">
      <c r="A5" s="8"/>
      <c r="B5" s="787" t="s">
        <v>9</v>
      </c>
      <c r="C5" s="787"/>
      <c r="D5" s="788" t="s">
        <v>10</v>
      </c>
      <c r="E5" s="788"/>
      <c r="F5" s="789" t="s">
        <v>11</v>
      </c>
      <c r="G5" s="789"/>
      <c r="H5" s="790" t="s">
        <v>53</v>
      </c>
      <c r="I5" s="791"/>
      <c r="J5" s="9" t="s">
        <v>12</v>
      </c>
      <c r="K5" s="100" t="s">
        <v>13</v>
      </c>
      <c r="L5" s="8" t="s">
        <v>11</v>
      </c>
      <c r="M5" s="11" t="s">
        <v>14</v>
      </c>
      <c r="N5" s="11" t="s">
        <v>54</v>
      </c>
      <c r="O5" s="67" t="s">
        <v>52</v>
      </c>
      <c r="P5" s="672" t="s">
        <v>62</v>
      </c>
      <c r="Q5" s="672"/>
      <c r="R5" s="667"/>
      <c r="S5" s="166" t="s">
        <v>94</v>
      </c>
      <c r="T5" s="157" t="s">
        <v>113</v>
      </c>
      <c r="U5" s="193" t="s">
        <v>153</v>
      </c>
      <c r="V5" s="77" t="s">
        <v>154</v>
      </c>
      <c r="W5" s="77" t="s">
        <v>116</v>
      </c>
      <c r="X5" s="77" t="s">
        <v>115</v>
      </c>
      <c r="Z5" s="77" t="s">
        <v>148</v>
      </c>
    </row>
    <row r="6" spans="1:26">
      <c r="B6" s="13" t="s">
        <v>9</v>
      </c>
      <c r="C6" s="13" t="s">
        <v>15</v>
      </c>
      <c r="D6" s="13" t="s">
        <v>16</v>
      </c>
      <c r="E6" s="13" t="s">
        <v>17</v>
      </c>
      <c r="F6" s="13" t="s">
        <v>16</v>
      </c>
      <c r="G6" s="13" t="s">
        <v>17</v>
      </c>
      <c r="H6" s="13"/>
      <c r="I6" s="13"/>
      <c r="K6"/>
      <c r="O6" s="360">
        <v>2</v>
      </c>
      <c r="R6" s="360" t="s">
        <v>63</v>
      </c>
      <c r="S6"/>
      <c r="T6"/>
      <c r="U6"/>
    </row>
    <row r="7" spans="1:26" ht="26.25" customHeight="1">
      <c r="A7" s="187" t="s">
        <v>131</v>
      </c>
      <c r="B7" s="102">
        <v>400</v>
      </c>
      <c r="C7" s="102">
        <v>40</v>
      </c>
      <c r="D7" s="118"/>
      <c r="E7" s="119"/>
      <c r="F7" s="118">
        <v>850</v>
      </c>
      <c r="G7" s="119">
        <v>42738</v>
      </c>
      <c r="H7" s="16"/>
      <c r="I7" s="16"/>
      <c r="J7" s="15">
        <v>0</v>
      </c>
      <c r="K7" s="120">
        <v>42738</v>
      </c>
      <c r="L7" s="424" t="s">
        <v>371</v>
      </c>
      <c r="M7" s="102"/>
      <c r="N7" s="102"/>
      <c r="P7" s="101">
        <v>31</v>
      </c>
      <c r="Q7" s="101">
        <v>31</v>
      </c>
      <c r="R7" s="122">
        <f>P7/Q7</f>
        <v>1</v>
      </c>
      <c r="S7" s="102"/>
      <c r="T7" s="102" t="e">
        <f>IF(L7&lt;&gt;"",VLOOKUP(L7,Locataires!C$5:L$15,4,0),"pas de Locataire")</f>
        <v>#N/A</v>
      </c>
      <c r="U7" s="102" t="s">
        <v>99</v>
      </c>
      <c r="V7" s="200">
        <v>43317.725763888891</v>
      </c>
    </row>
    <row r="8" spans="1:26" ht="25.5">
      <c r="A8" s="187" t="s">
        <v>147</v>
      </c>
      <c r="B8" s="102">
        <v>401</v>
      </c>
      <c r="C8" s="102">
        <v>41</v>
      </c>
      <c r="D8" s="118"/>
      <c r="E8" s="119"/>
      <c r="F8" s="118">
        <v>851</v>
      </c>
      <c r="G8" s="119">
        <v>42737</v>
      </c>
      <c r="H8" s="16"/>
      <c r="I8" s="16"/>
      <c r="J8" s="15">
        <v>-1</v>
      </c>
      <c r="K8" s="120">
        <v>42768</v>
      </c>
      <c r="L8" s="424" t="s">
        <v>371</v>
      </c>
      <c r="M8" s="102"/>
      <c r="N8" s="102"/>
      <c r="P8" s="101">
        <v>28</v>
      </c>
      <c r="Q8" s="101">
        <v>28</v>
      </c>
      <c r="R8" s="122">
        <f t="shared" ref="R8:R18" si="0">P8/Q8</f>
        <v>1</v>
      </c>
      <c r="S8" s="102"/>
      <c r="T8" s="102" t="e">
        <f>IF(L8&lt;&gt;"",VLOOKUP(L8,Locataires!C6:L8,4,0),"pas de Locataire")</f>
        <v>#N/A</v>
      </c>
      <c r="U8" s="102" t="s">
        <v>99</v>
      </c>
      <c r="V8" s="200">
        <v>43144.613402777781</v>
      </c>
    </row>
    <row r="9" spans="1:26" ht="25.5">
      <c r="A9" s="187" t="s">
        <v>134</v>
      </c>
      <c r="B9" s="102">
        <v>402</v>
      </c>
      <c r="C9" s="102">
        <v>42</v>
      </c>
      <c r="D9" s="118"/>
      <c r="E9" s="119"/>
      <c r="F9" s="118">
        <v>852</v>
      </c>
      <c r="G9" s="119">
        <v>42737</v>
      </c>
      <c r="H9" s="16"/>
      <c r="I9" s="16"/>
      <c r="J9" s="15">
        <v>1</v>
      </c>
      <c r="K9" s="120"/>
      <c r="L9" s="424" t="s">
        <v>371</v>
      </c>
      <c r="M9" s="102"/>
      <c r="N9" s="101" t="s">
        <v>388</v>
      </c>
      <c r="P9" s="101">
        <v>31</v>
      </c>
      <c r="Q9" s="101">
        <v>31</v>
      </c>
      <c r="R9" s="122">
        <f t="shared" si="0"/>
        <v>1</v>
      </c>
      <c r="S9" s="102"/>
      <c r="T9" s="102" t="e">
        <f>IF(L9&lt;&gt;"",VLOOKUP(L9,Locataires!C$5:L$15,4,0),"pas de Locataire")</f>
        <v>#N/A</v>
      </c>
      <c r="U9" s="102"/>
      <c r="V9" s="364">
        <v>43172.78533564815</v>
      </c>
    </row>
    <row r="10" spans="1:26" ht="25.5">
      <c r="A10" s="187" t="s">
        <v>132</v>
      </c>
      <c r="B10" s="102">
        <v>403</v>
      </c>
      <c r="C10" s="102">
        <v>43</v>
      </c>
      <c r="D10" s="118"/>
      <c r="E10" s="119"/>
      <c r="F10" s="118">
        <v>853</v>
      </c>
      <c r="G10" s="119">
        <v>42737</v>
      </c>
      <c r="H10" s="16"/>
      <c r="I10" s="16"/>
      <c r="J10" s="15">
        <v>-6</v>
      </c>
      <c r="K10" s="120"/>
      <c r="L10" s="424" t="s">
        <v>371</v>
      </c>
      <c r="M10" s="102"/>
      <c r="N10" s="102"/>
      <c r="P10" s="101">
        <v>30</v>
      </c>
      <c r="Q10" s="101">
        <v>30</v>
      </c>
      <c r="R10" s="122">
        <f t="shared" si="0"/>
        <v>1</v>
      </c>
      <c r="S10" s="102"/>
      <c r="T10" s="102" t="e">
        <f>IF(L10&lt;&gt;"",VLOOKUP(L10,Locataires!C$5:L$15,4,0),"pas de Locataire")</f>
        <v>#N/A</v>
      </c>
      <c r="U10" s="102"/>
      <c r="V10" s="364">
        <v>43203.817013888889</v>
      </c>
    </row>
    <row r="11" spans="1:26" ht="25.5">
      <c r="A11" s="187" t="s">
        <v>136</v>
      </c>
      <c r="B11" s="102">
        <v>404</v>
      </c>
      <c r="C11" s="102">
        <v>44</v>
      </c>
      <c r="D11" s="118"/>
      <c r="E11" s="119"/>
      <c r="F11" s="118">
        <v>854</v>
      </c>
      <c r="G11" s="119">
        <v>42737</v>
      </c>
      <c r="H11" s="16"/>
      <c r="I11" s="16"/>
      <c r="J11" s="15">
        <v>-7</v>
      </c>
      <c r="K11" s="120"/>
      <c r="L11" s="424" t="s">
        <v>371</v>
      </c>
      <c r="M11" s="102"/>
      <c r="N11" s="102"/>
      <c r="P11" s="101">
        <v>31</v>
      </c>
      <c r="Q11" s="101">
        <v>31</v>
      </c>
      <c r="R11" s="122">
        <f t="shared" si="0"/>
        <v>1</v>
      </c>
      <c r="S11" s="102"/>
      <c r="T11" s="102" t="e">
        <f>IF(L11&lt;&gt;"",VLOOKUP(L11,Locataires!C$5:L$15,4,0),"pas de Locataire")</f>
        <v>#N/A</v>
      </c>
      <c r="U11" s="102"/>
      <c r="V11" s="364">
        <v>43236.8200462963</v>
      </c>
    </row>
    <row r="12" spans="1:26" ht="25.5">
      <c r="A12" s="187" t="s">
        <v>137</v>
      </c>
      <c r="B12" s="102">
        <v>405</v>
      </c>
      <c r="C12" s="102">
        <v>45</v>
      </c>
      <c r="D12" s="118"/>
      <c r="E12" s="119"/>
      <c r="F12" s="118">
        <v>855</v>
      </c>
      <c r="G12" s="119">
        <v>42737</v>
      </c>
      <c r="H12" s="16"/>
      <c r="I12" s="16"/>
      <c r="J12" s="15">
        <v>-130</v>
      </c>
      <c r="K12" s="120"/>
      <c r="L12" s="424" t="s">
        <v>371</v>
      </c>
      <c r="M12" s="102"/>
      <c r="N12" s="102"/>
      <c r="P12" s="101">
        <v>30</v>
      </c>
      <c r="Q12" s="101">
        <v>30</v>
      </c>
      <c r="R12" s="122">
        <f t="shared" si="0"/>
        <v>1</v>
      </c>
      <c r="S12" s="102"/>
      <c r="T12" s="102" t="e">
        <f>IF(L12&lt;&gt;"",VLOOKUP(L12,Locataires!C$5:L$15,4,0),"pas de Locataire")</f>
        <v>#N/A</v>
      </c>
      <c r="U12" s="102"/>
      <c r="V12" s="364">
        <v>43264.295335648145</v>
      </c>
    </row>
    <row r="13" spans="1:26" ht="25.5">
      <c r="A13" s="187" t="s">
        <v>138</v>
      </c>
      <c r="B13" s="102">
        <v>720</v>
      </c>
      <c r="C13" s="102">
        <v>130</v>
      </c>
      <c r="D13" s="118"/>
      <c r="E13" s="119"/>
      <c r="F13" s="118">
        <v>856</v>
      </c>
      <c r="G13" s="119">
        <v>42737</v>
      </c>
      <c r="H13" s="16"/>
      <c r="I13" s="16"/>
      <c r="J13" s="15">
        <v>-461</v>
      </c>
      <c r="K13" s="120"/>
      <c r="L13" s="424" t="s">
        <v>371</v>
      </c>
      <c r="M13" s="102"/>
      <c r="N13" s="102"/>
      <c r="P13" s="101">
        <v>31</v>
      </c>
      <c r="Q13" s="101">
        <v>31</v>
      </c>
      <c r="R13" s="122">
        <f t="shared" si="0"/>
        <v>1</v>
      </c>
      <c r="S13" s="102"/>
      <c r="T13" s="102" t="e">
        <f>IF(L13&lt;&gt;"",VLOOKUP(L13,Locataires!C$5:L$15,4,0),"pas de Locataire")</f>
        <v>#N/A</v>
      </c>
      <c r="U13" s="102"/>
      <c r="V13" s="364">
        <v>43292.816608796296</v>
      </c>
    </row>
    <row r="14" spans="1:26" ht="25.5">
      <c r="A14" s="187" t="s">
        <v>139</v>
      </c>
      <c r="B14" s="102">
        <v>720</v>
      </c>
      <c r="C14" s="102">
        <v>130</v>
      </c>
      <c r="D14" s="118"/>
      <c r="E14" s="119"/>
      <c r="F14" s="118">
        <v>857</v>
      </c>
      <c r="G14" s="119">
        <v>42737</v>
      </c>
      <c r="H14" s="16"/>
      <c r="I14" s="16"/>
      <c r="J14" s="15">
        <v>-463</v>
      </c>
      <c r="K14" s="120"/>
      <c r="L14" s="424" t="s">
        <v>371</v>
      </c>
      <c r="M14" s="102"/>
      <c r="N14" s="102"/>
      <c r="P14" s="101">
        <v>31</v>
      </c>
      <c r="Q14" s="101">
        <v>31</v>
      </c>
      <c r="R14" s="122">
        <f t="shared" si="0"/>
        <v>1</v>
      </c>
      <c r="S14" s="102"/>
      <c r="T14" s="102" t="e">
        <f>IF(L14&lt;&gt;"",VLOOKUP(L14,Locataires!C$5:L$15,4,0),"pas de Locataire")</f>
        <v>#N/A</v>
      </c>
      <c r="U14" s="102"/>
      <c r="V14" s="364">
        <v>43314.905856481484</v>
      </c>
    </row>
    <row r="15" spans="1:26" ht="25.5">
      <c r="A15" s="187" t="s">
        <v>140</v>
      </c>
      <c r="B15" s="102">
        <v>720</v>
      </c>
      <c r="C15" s="102">
        <v>130</v>
      </c>
      <c r="D15" s="118"/>
      <c r="E15" s="119"/>
      <c r="F15" s="118">
        <v>858</v>
      </c>
      <c r="G15" s="119">
        <v>42737</v>
      </c>
      <c r="H15" s="16"/>
      <c r="I15" s="16"/>
      <c r="J15" s="15">
        <v>-465</v>
      </c>
      <c r="K15" s="120"/>
      <c r="L15" s="424" t="s">
        <v>371</v>
      </c>
      <c r="M15" s="102"/>
      <c r="N15" s="102"/>
      <c r="P15" s="101">
        <v>30</v>
      </c>
      <c r="Q15" s="101">
        <v>30</v>
      </c>
      <c r="R15" s="122">
        <f t="shared" si="0"/>
        <v>1</v>
      </c>
      <c r="S15" s="102"/>
      <c r="T15" s="102" t="e">
        <f>IF(L15&lt;&gt;"",VLOOKUP(L15,Locataires!C$5:L$15,4,0),"pas de Locataire")</f>
        <v>#N/A</v>
      </c>
      <c r="U15" s="102"/>
      <c r="V15" s="364">
        <v>42996.805532407408</v>
      </c>
    </row>
    <row r="16" spans="1:26" ht="25.5">
      <c r="A16" s="187" t="s">
        <v>141</v>
      </c>
      <c r="B16" s="102">
        <v>720</v>
      </c>
      <c r="C16" s="102">
        <v>130</v>
      </c>
      <c r="D16" s="118"/>
      <c r="E16" s="119"/>
      <c r="F16" s="118">
        <v>859</v>
      </c>
      <c r="G16" s="119">
        <v>42738</v>
      </c>
      <c r="H16" s="16"/>
      <c r="I16" s="16"/>
      <c r="J16" s="15">
        <v>-467</v>
      </c>
      <c r="K16" s="120"/>
      <c r="L16" s="424" t="s">
        <v>371</v>
      </c>
      <c r="M16" s="102"/>
      <c r="N16" s="102"/>
      <c r="P16" s="101">
        <v>31</v>
      </c>
      <c r="Q16" s="101">
        <v>31</v>
      </c>
      <c r="R16" s="122">
        <f t="shared" si="0"/>
        <v>1</v>
      </c>
      <c r="S16" s="102"/>
      <c r="T16" s="102" t="e">
        <f>IF(L16&lt;&gt;"",VLOOKUP(L16,Locataires!C$5:L$15,4,0),"pas de Locataire")</f>
        <v>#N/A</v>
      </c>
      <c r="U16" s="102"/>
      <c r="V16" s="364">
        <v>43021.90253472222</v>
      </c>
    </row>
    <row r="17" spans="1:26" s="84" customFormat="1" ht="13.5" customHeight="1">
      <c r="A17" s="188" t="s">
        <v>135</v>
      </c>
      <c r="B17" s="102">
        <v>720</v>
      </c>
      <c r="C17" s="102">
        <v>130</v>
      </c>
      <c r="D17" s="118"/>
      <c r="E17" s="119"/>
      <c r="F17" s="118">
        <v>860</v>
      </c>
      <c r="G17" s="119">
        <v>42737</v>
      </c>
      <c r="H17" s="16"/>
      <c r="I17" s="16"/>
      <c r="J17" s="15">
        <v>-469</v>
      </c>
      <c r="K17" s="120"/>
      <c r="L17" s="424" t="s">
        <v>371</v>
      </c>
      <c r="M17" s="102"/>
      <c r="N17" s="102"/>
      <c r="O17"/>
      <c r="P17" s="101">
        <v>30</v>
      </c>
      <c r="Q17" s="101">
        <v>30</v>
      </c>
      <c r="R17" s="122">
        <f t="shared" si="0"/>
        <v>1</v>
      </c>
      <c r="S17" s="102"/>
      <c r="T17" s="102" t="e">
        <f>IF(L17&lt;&gt;"",VLOOKUP(L17,Locataires!C$5:L$15,4,0),"pas de Locataire")</f>
        <v>#N/A</v>
      </c>
      <c r="U17" s="102"/>
      <c r="V17" s="365">
        <v>43115.583078703705</v>
      </c>
      <c r="W17" s="361"/>
      <c r="X17"/>
      <c r="Y17"/>
      <c r="Z17"/>
    </row>
    <row r="18" spans="1:26" s="84" customFormat="1" ht="11.25" customHeight="1">
      <c r="A18" s="188" t="s">
        <v>142</v>
      </c>
      <c r="B18" s="102">
        <v>720</v>
      </c>
      <c r="C18" s="102">
        <v>130</v>
      </c>
      <c r="D18" s="118"/>
      <c r="E18" s="119"/>
      <c r="F18" s="118">
        <v>860</v>
      </c>
      <c r="G18" s="119">
        <v>42737</v>
      </c>
      <c r="H18" s="152"/>
      <c r="I18" s="152"/>
      <c r="J18" s="15">
        <v>-471</v>
      </c>
      <c r="K18" s="153"/>
      <c r="L18" s="423" t="s">
        <v>371</v>
      </c>
      <c r="M18" s="102"/>
      <c r="N18" s="102"/>
      <c r="O18"/>
      <c r="P18" s="101">
        <v>31</v>
      </c>
      <c r="Q18" s="101">
        <v>31</v>
      </c>
      <c r="R18" s="122">
        <f t="shared" si="0"/>
        <v>1</v>
      </c>
      <c r="S18" s="102"/>
      <c r="T18" s="102" t="e">
        <f>IF(L18&lt;&gt;"",VLOOKUP(L18,Locataires!C$5:L$15,4,0),"pas de Locataire")</f>
        <v>#N/A</v>
      </c>
      <c r="U18" s="102"/>
      <c r="V18" s="366">
        <v>43115.583715277775</v>
      </c>
      <c r="W18" s="361"/>
      <c r="X18"/>
      <c r="Y18"/>
      <c r="Z18"/>
    </row>
    <row r="19" spans="1:26">
      <c r="B19" s="19" t="s">
        <v>19</v>
      </c>
      <c r="C19" s="20">
        <f>SUM(B7:C18)</f>
        <v>7770</v>
      </c>
      <c r="K19"/>
      <c r="S19"/>
      <c r="T19"/>
      <c r="U19"/>
    </row>
    <row r="20" spans="1:26">
      <c r="C20" s="21" t="s">
        <v>20</v>
      </c>
      <c r="D20" s="15">
        <v>2154.31</v>
      </c>
      <c r="F20" s="15">
        <v>566</v>
      </c>
      <c r="K20"/>
      <c r="S20"/>
      <c r="T20"/>
      <c r="U20"/>
    </row>
    <row r="21" spans="1:26">
      <c r="K21"/>
      <c r="S21"/>
      <c r="T21"/>
      <c r="U21"/>
    </row>
    <row r="22" spans="1:26">
      <c r="C22" s="21" t="s">
        <v>21</v>
      </c>
      <c r="D22" s="22">
        <v>2720.31</v>
      </c>
      <c r="K22"/>
      <c r="S22"/>
      <c r="T22"/>
      <c r="U22"/>
    </row>
    <row r="23" spans="1:26">
      <c r="C23" s="23" t="s">
        <v>22</v>
      </c>
      <c r="D23" s="24">
        <v>0.66674264705882347</v>
      </c>
      <c r="K23"/>
      <c r="S23"/>
      <c r="T23"/>
      <c r="U23"/>
    </row>
    <row r="24" spans="1:26">
      <c r="K24"/>
      <c r="S24"/>
      <c r="T24"/>
      <c r="U24"/>
    </row>
    <row r="25" spans="1:26">
      <c r="K25"/>
      <c r="S25"/>
      <c r="T25"/>
      <c r="U25"/>
    </row>
    <row r="26" spans="1:26" ht="15.75">
      <c r="L26" s="124"/>
    </row>
    <row r="27" spans="1:26" ht="32.25" customHeight="1">
      <c r="A27" s="162" t="s">
        <v>125</v>
      </c>
      <c r="B27" s="163">
        <v>2016</v>
      </c>
      <c r="D27" s="8"/>
    </row>
    <row r="29" spans="1:26" ht="26.25" customHeight="1">
      <c r="D29" s="8"/>
      <c r="O29" s="25"/>
      <c r="P29" s="26"/>
      <c r="Q29" s="26"/>
      <c r="R29" s="777"/>
      <c r="S29" s="777"/>
      <c r="T29" s="167"/>
      <c r="U29" s="167"/>
      <c r="V29" s="123"/>
      <c r="W29" s="70"/>
    </row>
    <row r="30" spans="1:26" ht="26.25">
      <c r="L30" s="27"/>
      <c r="O30" s="26"/>
      <c r="P30" s="26"/>
      <c r="Q30" s="26"/>
      <c r="R30" s="27"/>
      <c r="S30" s="125"/>
      <c r="T30" s="168"/>
      <c r="U30" s="168"/>
      <c r="V30" s="27"/>
      <c r="W30" s="27"/>
    </row>
  </sheetData>
  <sheetProtection selectLockedCells="1" selectUnlockedCells="1"/>
  <mergeCells count="13">
    <mergeCell ref="W4:Y4"/>
    <mergeCell ref="B5:C5"/>
    <mergeCell ref="D5:E5"/>
    <mergeCell ref="F5:G5"/>
    <mergeCell ref="R29:S29"/>
    <mergeCell ref="P5:R5"/>
    <mergeCell ref="H5:I5"/>
    <mergeCell ref="C2:D2"/>
    <mergeCell ref="E2:G2"/>
    <mergeCell ref="J2:K2"/>
    <mergeCell ref="C3:E3"/>
    <mergeCell ref="F3:G3"/>
    <mergeCell ref="J3:K3"/>
  </mergeCells>
  <conditionalFormatting sqref="H7:I18">
    <cfRule type="cellIs" dxfId="36" priority="2" stopIfTrue="1" operator="greaterThan">
      <formula>0</formula>
    </cfRule>
  </conditionalFormatting>
  <conditionalFormatting sqref="J18">
    <cfRule type="cellIs" dxfId="35" priority="1" operator="lessThan">
      <formula>0</formula>
    </cfRule>
  </conditionalFormatting>
  <dataValidations count="2">
    <dataValidation type="list" allowBlank="1" showInputMessage="1" showErrorMessage="1" sqref="U7 S7:S18">
      <formula1>Oui_Non</formula1>
    </dataValidation>
    <dataValidation type="list" allowBlank="1" showInputMessage="1" showErrorMessage="1" sqref="B27">
      <formula1>Liste_archives</formula1>
    </dataValidation>
  </dataValidations>
  <hyperlinks>
    <hyperlink ref="B1" location="Accueil!A1" display="Accueil"/>
  </hyperlinks>
  <pageMargins left="0.19685039370078741" right="0.19685039370078741" top="0.74803149606299213" bottom="0.74803149606299213" header="0.51181102362204722" footer="0.51181102362204722"/>
  <pageSetup paperSize="9" scale="80" firstPageNumber="0" orientation="landscape" r:id="rId1"/>
  <headerFooter alignWithMargins="0"/>
  <drawing r:id="rId2"/>
  <legacyDrawing r:id="rId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66"/>
  <sheetViews>
    <sheetView workbookViewId="0">
      <pane xSplit="1" ySplit="6" topLeftCell="B16" activePane="bottomRight" state="frozen"/>
      <selection pane="topRight" activeCell="B1" sqref="B1"/>
      <selection pane="bottomLeft" activeCell="A7" sqref="A7"/>
      <selection pane="bottomRight" activeCell="F42" sqref="F42"/>
    </sheetView>
  </sheetViews>
  <sheetFormatPr baseColWidth="10" defaultRowHeight="12.75"/>
  <cols>
    <col min="1" max="1" width="12.28515625" customWidth="1"/>
    <col min="4" max="4" width="10.5703125" customWidth="1"/>
    <col min="5" max="6" width="9.5703125" customWidth="1"/>
    <col min="7" max="8" width="10.5703125" customWidth="1"/>
    <col min="10" max="10" width="14.28515625" customWidth="1"/>
    <col min="11" max="11" width="16.42578125" customWidth="1"/>
    <col min="14" max="14" width="12" style="12" customWidth="1"/>
    <col min="16" max="16" width="4.7109375" customWidth="1"/>
    <col min="17" max="17" width="4.28515625" customWidth="1"/>
    <col min="18" max="18" width="6.5703125" customWidth="1"/>
    <col min="19" max="19" width="8.5703125" customWidth="1"/>
    <col min="20" max="20" width="18.7109375" customWidth="1"/>
    <col min="22" max="22" width="15.42578125" customWidth="1"/>
    <col min="24" max="24" width="8.7109375" style="385" customWidth="1"/>
    <col min="29" max="29" width="9.5703125" style="509" customWidth="1"/>
    <col min="30" max="30" width="10.5703125" style="509" customWidth="1"/>
  </cols>
  <sheetData>
    <row r="1" spans="1:30">
      <c r="A1" s="1" t="s">
        <v>46</v>
      </c>
    </row>
    <row r="2" spans="1:30" ht="15">
      <c r="B2" s="2" t="s">
        <v>0</v>
      </c>
      <c r="C2" s="781" t="s">
        <v>1</v>
      </c>
      <c r="D2" s="781"/>
      <c r="E2" s="781" t="s">
        <v>2</v>
      </c>
      <c r="F2" s="781"/>
      <c r="G2" s="781"/>
      <c r="H2" s="68"/>
      <c r="I2" s="782" t="s">
        <v>3</v>
      </c>
      <c r="J2" s="782"/>
      <c r="K2" s="3" t="s">
        <v>4</v>
      </c>
    </row>
    <row r="3" spans="1:30">
      <c r="B3" s="2" t="s">
        <v>5</v>
      </c>
      <c r="C3" s="783" t="s">
        <v>6</v>
      </c>
      <c r="D3" s="783"/>
      <c r="E3" s="783"/>
      <c r="F3" s="784" t="s">
        <v>7</v>
      </c>
      <c r="G3" s="784"/>
      <c r="H3" s="69"/>
      <c r="I3" s="785" t="s">
        <v>8</v>
      </c>
      <c r="J3" s="785"/>
      <c r="K3" s="4"/>
      <c r="N3" s="67" t="s">
        <v>52</v>
      </c>
      <c r="O3">
        <v>1</v>
      </c>
    </row>
    <row r="4" spans="1:30" ht="15">
      <c r="C4" s="5"/>
      <c r="D4" s="5"/>
      <c r="E4" s="5"/>
      <c r="F4" s="5"/>
      <c r="G4" s="5"/>
      <c r="H4" s="5"/>
      <c r="I4" s="6"/>
      <c r="J4" s="5"/>
      <c r="K4" s="7"/>
      <c r="AC4" s="5"/>
      <c r="AD4" s="5"/>
    </row>
    <row r="5" spans="1:30" s="12" customFormat="1" ht="25.5">
      <c r="A5" s="8"/>
      <c r="B5" s="787" t="s">
        <v>9</v>
      </c>
      <c r="C5" s="787"/>
      <c r="D5" s="788" t="s">
        <v>10</v>
      </c>
      <c r="E5" s="788"/>
      <c r="F5" s="789" t="s">
        <v>11</v>
      </c>
      <c r="G5" s="789"/>
      <c r="H5" s="790" t="s">
        <v>53</v>
      </c>
      <c r="I5" s="791"/>
      <c r="J5" s="9" t="s">
        <v>12</v>
      </c>
      <c r="K5" s="10" t="s">
        <v>13</v>
      </c>
      <c r="L5" s="8" t="s">
        <v>11</v>
      </c>
      <c r="M5" s="11" t="s">
        <v>14</v>
      </c>
      <c r="N5" s="11" t="s">
        <v>54</v>
      </c>
      <c r="O5" s="67" t="s">
        <v>52</v>
      </c>
      <c r="P5" s="672" t="s">
        <v>62</v>
      </c>
      <c r="Q5" s="672"/>
      <c r="R5" s="667"/>
      <c r="S5" s="77" t="s">
        <v>94</v>
      </c>
      <c r="T5" s="77" t="s">
        <v>113</v>
      </c>
      <c r="U5" s="77" t="s">
        <v>64</v>
      </c>
      <c r="X5" s="387" t="s">
        <v>70</v>
      </c>
      <c r="Y5" s="793" t="s">
        <v>629</v>
      </c>
      <c r="Z5" s="793"/>
      <c r="AA5" s="793"/>
      <c r="AB5" s="793"/>
      <c r="AC5" s="792" t="s">
        <v>719</v>
      </c>
      <c r="AD5" s="792"/>
    </row>
    <row r="6" spans="1:30" ht="24.75" customHeight="1">
      <c r="B6" s="13" t="s">
        <v>9</v>
      </c>
      <c r="C6" s="13" t="s">
        <v>15</v>
      </c>
      <c r="D6" s="13" t="s">
        <v>16</v>
      </c>
      <c r="E6" s="13" t="s">
        <v>17</v>
      </c>
      <c r="F6" s="13" t="s">
        <v>16</v>
      </c>
      <c r="G6" s="13" t="s">
        <v>17</v>
      </c>
      <c r="H6" s="155" t="s">
        <v>16</v>
      </c>
      <c r="I6" s="155" t="s">
        <v>119</v>
      </c>
      <c r="K6" s="98"/>
      <c r="N6"/>
      <c r="O6" s="301">
        <v>1</v>
      </c>
      <c r="R6" s="360" t="s">
        <v>63</v>
      </c>
      <c r="S6" s="360"/>
      <c r="Y6" s="474" t="s">
        <v>630</v>
      </c>
      <c r="Z6" s="474" t="s">
        <v>631</v>
      </c>
      <c r="AA6" s="474" t="s">
        <v>632</v>
      </c>
      <c r="AB6" s="474"/>
      <c r="AC6" s="13" t="s">
        <v>16</v>
      </c>
      <c r="AD6" s="13" t="s">
        <v>17</v>
      </c>
    </row>
    <row r="7" spans="1:30">
      <c r="A7" s="170" t="s">
        <v>131</v>
      </c>
      <c r="B7" s="436">
        <v>290</v>
      </c>
      <c r="C7" s="436">
        <v>50</v>
      </c>
      <c r="D7" s="15">
        <v>272</v>
      </c>
      <c r="E7" s="16">
        <v>42009</v>
      </c>
      <c r="F7" s="15">
        <v>68</v>
      </c>
      <c r="G7" s="16">
        <v>42381</v>
      </c>
      <c r="H7" s="15"/>
      <c r="I7" s="15"/>
      <c r="J7" s="15">
        <f t="shared" ref="J7:J18" si="0">(B7+C7)*R7-D7-F7-H7</f>
        <v>0</v>
      </c>
      <c r="K7" s="73">
        <v>42409</v>
      </c>
      <c r="L7" s="17" t="s">
        <v>18</v>
      </c>
      <c r="M7" s="73" t="s">
        <v>126</v>
      </c>
      <c r="N7"/>
      <c r="P7" s="65">
        <v>31</v>
      </c>
      <c r="Q7" s="65">
        <v>31</v>
      </c>
      <c r="R7" s="75">
        <f>P7/Q7</f>
        <v>1</v>
      </c>
      <c r="S7" s="436"/>
      <c r="U7" s="169" t="s">
        <v>129</v>
      </c>
      <c r="X7" s="388">
        <v>2016</v>
      </c>
      <c r="AC7" s="15"/>
      <c r="AD7" s="16"/>
    </row>
    <row r="8" spans="1:30">
      <c r="A8" s="170" t="s">
        <v>133</v>
      </c>
      <c r="B8" s="436">
        <v>290</v>
      </c>
      <c r="C8" s="436">
        <v>50</v>
      </c>
      <c r="D8" s="15">
        <v>272</v>
      </c>
      <c r="E8" s="16">
        <v>42405</v>
      </c>
      <c r="F8" s="15">
        <v>68</v>
      </c>
      <c r="G8" s="16">
        <v>42409</v>
      </c>
      <c r="H8" s="15"/>
      <c r="I8" s="15"/>
      <c r="J8" s="15">
        <f t="shared" si="0"/>
        <v>0</v>
      </c>
      <c r="K8" s="73">
        <v>42409</v>
      </c>
      <c r="L8" s="17" t="s">
        <v>18</v>
      </c>
      <c r="M8" s="73" t="s">
        <v>126</v>
      </c>
      <c r="N8"/>
      <c r="P8" s="65">
        <v>28</v>
      </c>
      <c r="Q8" s="65">
        <v>28</v>
      </c>
      <c r="R8" s="75">
        <f t="shared" ref="R8:R18" si="1">P8/Q8</f>
        <v>1</v>
      </c>
      <c r="S8" s="436"/>
      <c r="U8" s="169" t="s">
        <v>129</v>
      </c>
      <c r="X8" s="388">
        <v>2016</v>
      </c>
      <c r="AC8" s="15"/>
      <c r="AD8" s="16"/>
    </row>
    <row r="9" spans="1:30">
      <c r="A9" s="170" t="s">
        <v>134</v>
      </c>
      <c r="B9" s="436">
        <v>290</v>
      </c>
      <c r="C9" s="436">
        <v>50</v>
      </c>
      <c r="D9" s="15">
        <v>272</v>
      </c>
      <c r="E9" s="16">
        <v>42433</v>
      </c>
      <c r="F9" s="15">
        <v>68</v>
      </c>
      <c r="G9" s="16">
        <v>42443</v>
      </c>
      <c r="J9" s="15">
        <f t="shared" si="0"/>
        <v>0</v>
      </c>
      <c r="K9" s="73">
        <v>42443</v>
      </c>
      <c r="L9" s="17" t="s">
        <v>18</v>
      </c>
      <c r="M9" s="73" t="s">
        <v>126</v>
      </c>
      <c r="N9"/>
      <c r="P9" s="65">
        <v>31</v>
      </c>
      <c r="Q9" s="65">
        <v>31</v>
      </c>
      <c r="R9" s="75">
        <f t="shared" si="1"/>
        <v>1</v>
      </c>
      <c r="S9" s="436"/>
      <c r="U9" s="169" t="s">
        <v>129</v>
      </c>
      <c r="X9" s="388">
        <v>2016</v>
      </c>
      <c r="AC9" s="15"/>
      <c r="AD9" s="16"/>
    </row>
    <row r="10" spans="1:30">
      <c r="A10" s="170" t="s">
        <v>132</v>
      </c>
      <c r="B10" s="436">
        <v>290</v>
      </c>
      <c r="C10" s="436">
        <v>50</v>
      </c>
      <c r="D10" s="15">
        <v>250.31</v>
      </c>
      <c r="E10" s="16">
        <v>38811</v>
      </c>
      <c r="F10" s="15">
        <v>90</v>
      </c>
      <c r="G10" s="16">
        <v>42474</v>
      </c>
      <c r="H10" s="15"/>
      <c r="I10" s="15"/>
      <c r="J10" s="15">
        <f t="shared" si="0"/>
        <v>-0.31000000000000227</v>
      </c>
      <c r="K10" s="73">
        <v>42474</v>
      </c>
      <c r="L10" s="17" t="s">
        <v>18</v>
      </c>
      <c r="M10" s="73" t="s">
        <v>126</v>
      </c>
      <c r="N10"/>
      <c r="P10" s="65">
        <v>30</v>
      </c>
      <c r="Q10" s="65">
        <v>30</v>
      </c>
      <c r="R10" s="75">
        <f t="shared" si="1"/>
        <v>1</v>
      </c>
      <c r="S10" s="436"/>
      <c r="U10" s="169" t="s">
        <v>129</v>
      </c>
      <c r="X10" s="388">
        <v>2016</v>
      </c>
      <c r="AC10" s="15"/>
      <c r="AD10" s="16"/>
    </row>
    <row r="11" spans="1:30">
      <c r="A11" s="170" t="s">
        <v>136</v>
      </c>
      <c r="B11" s="436">
        <v>290</v>
      </c>
      <c r="C11" s="436">
        <v>50</v>
      </c>
      <c r="D11" s="15">
        <v>272</v>
      </c>
      <c r="E11" s="16">
        <v>42496</v>
      </c>
      <c r="F11" s="15">
        <v>68</v>
      </c>
      <c r="G11" s="16">
        <v>42502</v>
      </c>
      <c r="H11" s="15"/>
      <c r="I11" s="15"/>
      <c r="J11" s="15">
        <f t="shared" si="0"/>
        <v>0</v>
      </c>
      <c r="K11" s="73">
        <v>42502</v>
      </c>
      <c r="L11" s="17" t="s">
        <v>18</v>
      </c>
      <c r="M11" s="73" t="s">
        <v>126</v>
      </c>
      <c r="N11"/>
      <c r="P11" s="65">
        <v>31</v>
      </c>
      <c r="Q11" s="65">
        <v>31</v>
      </c>
      <c r="R11" s="75">
        <f t="shared" si="1"/>
        <v>1</v>
      </c>
      <c r="S11" s="436"/>
      <c r="U11" s="169" t="s">
        <v>129</v>
      </c>
      <c r="X11" s="388">
        <v>2016</v>
      </c>
      <c r="AC11" s="15"/>
      <c r="AD11" s="16"/>
    </row>
    <row r="12" spans="1:30">
      <c r="A12" s="170" t="s">
        <v>137</v>
      </c>
      <c r="B12" s="436">
        <v>290</v>
      </c>
      <c r="C12" s="436">
        <v>50</v>
      </c>
      <c r="D12" s="15">
        <v>272</v>
      </c>
      <c r="E12" s="16">
        <v>42527</v>
      </c>
      <c r="F12" s="15">
        <v>68</v>
      </c>
      <c r="G12" s="16">
        <v>42536</v>
      </c>
      <c r="H12" s="15"/>
      <c r="I12" s="15"/>
      <c r="J12" s="15">
        <f t="shared" si="0"/>
        <v>0</v>
      </c>
      <c r="K12" s="73">
        <v>42536</v>
      </c>
      <c r="L12" s="17" t="s">
        <v>18</v>
      </c>
      <c r="M12" s="73" t="s">
        <v>126</v>
      </c>
      <c r="N12"/>
      <c r="P12" s="65">
        <v>30</v>
      </c>
      <c r="Q12" s="65">
        <v>30</v>
      </c>
      <c r="R12" s="75">
        <f t="shared" si="1"/>
        <v>1</v>
      </c>
      <c r="S12" s="436"/>
      <c r="U12" s="169" t="s">
        <v>129</v>
      </c>
      <c r="X12" s="388">
        <v>2016</v>
      </c>
      <c r="AC12" s="15"/>
      <c r="AD12" s="16"/>
    </row>
    <row r="13" spans="1:30">
      <c r="A13" s="170" t="s">
        <v>138</v>
      </c>
      <c r="B13" s="436">
        <v>290</v>
      </c>
      <c r="C13" s="436">
        <v>50</v>
      </c>
      <c r="D13" s="15">
        <v>272</v>
      </c>
      <c r="E13" s="16">
        <v>42556</v>
      </c>
      <c r="F13" s="15">
        <v>68</v>
      </c>
      <c r="G13" s="16">
        <v>42560</v>
      </c>
      <c r="H13" s="15"/>
      <c r="I13" s="15"/>
      <c r="J13" s="15">
        <f t="shared" si="0"/>
        <v>0</v>
      </c>
      <c r="K13" s="73">
        <v>42560</v>
      </c>
      <c r="L13" s="17" t="s">
        <v>18</v>
      </c>
      <c r="M13" s="73" t="s">
        <v>126</v>
      </c>
      <c r="N13"/>
      <c r="P13" s="65">
        <v>31</v>
      </c>
      <c r="Q13" s="65">
        <v>31</v>
      </c>
      <c r="R13" s="75">
        <f t="shared" si="1"/>
        <v>1</v>
      </c>
      <c r="S13" s="436"/>
      <c r="U13" s="169" t="s">
        <v>129</v>
      </c>
      <c r="X13" s="388">
        <v>2016</v>
      </c>
      <c r="AC13" s="15"/>
      <c r="AD13" s="16"/>
    </row>
    <row r="14" spans="1:30">
      <c r="A14" s="170" t="s">
        <v>139</v>
      </c>
      <c r="B14" s="436">
        <v>290</v>
      </c>
      <c r="C14" s="436">
        <v>50</v>
      </c>
      <c r="D14" s="15">
        <v>272</v>
      </c>
      <c r="E14" s="16">
        <v>42587</v>
      </c>
      <c r="F14" s="15">
        <v>68</v>
      </c>
      <c r="G14" s="16">
        <v>42592</v>
      </c>
      <c r="H14" s="15"/>
      <c r="I14" s="15"/>
      <c r="J14" s="15">
        <f t="shared" si="0"/>
        <v>0</v>
      </c>
      <c r="K14" s="73">
        <v>42592</v>
      </c>
      <c r="L14" s="17" t="s">
        <v>18</v>
      </c>
      <c r="M14" s="73" t="s">
        <v>126</v>
      </c>
      <c r="N14"/>
      <c r="P14" s="65">
        <v>31</v>
      </c>
      <c r="Q14" s="65">
        <v>31</v>
      </c>
      <c r="R14" s="75">
        <f t="shared" si="1"/>
        <v>1</v>
      </c>
      <c r="S14" s="436"/>
      <c r="U14" s="169" t="s">
        <v>129</v>
      </c>
      <c r="X14" s="388">
        <v>2016</v>
      </c>
      <c r="AC14" s="15"/>
      <c r="AD14" s="16"/>
    </row>
    <row r="15" spans="1:30">
      <c r="A15" s="170" t="s">
        <v>140</v>
      </c>
      <c r="B15" s="436">
        <v>290</v>
      </c>
      <c r="C15" s="436">
        <v>50</v>
      </c>
      <c r="D15" s="15">
        <v>272</v>
      </c>
      <c r="E15" s="16">
        <v>42618</v>
      </c>
      <c r="F15" s="15">
        <v>68</v>
      </c>
      <c r="G15" s="16">
        <v>42628</v>
      </c>
      <c r="H15" s="15"/>
      <c r="I15" s="15"/>
      <c r="J15" s="15">
        <f t="shared" si="0"/>
        <v>0</v>
      </c>
      <c r="K15" s="73">
        <v>42628</v>
      </c>
      <c r="L15" s="17" t="s">
        <v>18</v>
      </c>
      <c r="M15" s="73" t="s">
        <v>126</v>
      </c>
      <c r="N15"/>
      <c r="P15" s="65">
        <v>30</v>
      </c>
      <c r="Q15" s="65">
        <v>30</v>
      </c>
      <c r="R15" s="75">
        <f t="shared" si="1"/>
        <v>1</v>
      </c>
      <c r="S15" s="436"/>
      <c r="U15" s="169" t="s">
        <v>129</v>
      </c>
      <c r="X15" s="388">
        <v>2016</v>
      </c>
      <c r="AC15" s="15"/>
      <c r="AD15" s="16"/>
    </row>
    <row r="16" spans="1:30">
      <c r="A16" s="170" t="s">
        <v>141</v>
      </c>
      <c r="B16" s="436">
        <v>290</v>
      </c>
      <c r="C16" s="436">
        <v>50</v>
      </c>
      <c r="D16" s="15">
        <v>272</v>
      </c>
      <c r="E16" s="16">
        <v>42648</v>
      </c>
      <c r="F16" s="15">
        <v>68</v>
      </c>
      <c r="G16" s="16">
        <v>42653</v>
      </c>
      <c r="H16" s="15"/>
      <c r="I16" s="15"/>
      <c r="J16" s="15">
        <f t="shared" si="0"/>
        <v>0</v>
      </c>
      <c r="K16" s="73">
        <v>42653</v>
      </c>
      <c r="L16" s="17" t="s">
        <v>18</v>
      </c>
      <c r="M16" s="73" t="s">
        <v>126</v>
      </c>
      <c r="N16"/>
      <c r="P16" s="65">
        <v>31</v>
      </c>
      <c r="Q16" s="65">
        <v>31</v>
      </c>
      <c r="R16" s="75">
        <f t="shared" si="1"/>
        <v>1</v>
      </c>
      <c r="S16" s="436"/>
      <c r="U16" s="169" t="s">
        <v>129</v>
      </c>
      <c r="X16" s="388">
        <v>2016</v>
      </c>
      <c r="AC16" s="15"/>
      <c r="AD16" s="16"/>
    </row>
    <row r="17" spans="1:30">
      <c r="A17" s="170" t="s">
        <v>135</v>
      </c>
      <c r="B17" s="436">
        <v>290</v>
      </c>
      <c r="C17" s="436">
        <v>50</v>
      </c>
      <c r="D17" s="15">
        <v>240</v>
      </c>
      <c r="E17" s="16">
        <v>42710</v>
      </c>
      <c r="F17" s="15">
        <v>100</v>
      </c>
      <c r="G17" s="16">
        <v>42688</v>
      </c>
      <c r="H17" s="15"/>
      <c r="I17" s="15"/>
      <c r="J17" s="15">
        <f t="shared" si="0"/>
        <v>0</v>
      </c>
      <c r="K17" s="73">
        <v>42689</v>
      </c>
      <c r="L17" s="17" t="s">
        <v>112</v>
      </c>
      <c r="M17" s="73" t="s">
        <v>126</v>
      </c>
      <c r="N17"/>
      <c r="P17" s="65">
        <v>30</v>
      </c>
      <c r="Q17" s="65">
        <v>30</v>
      </c>
      <c r="R17" s="75">
        <f t="shared" si="1"/>
        <v>1</v>
      </c>
      <c r="S17" s="436" t="s">
        <v>99</v>
      </c>
      <c r="U17" s="169" t="s">
        <v>129</v>
      </c>
      <c r="X17" s="388">
        <v>2016</v>
      </c>
      <c r="AC17" s="15"/>
      <c r="AD17" s="16"/>
    </row>
    <row r="18" spans="1:30">
      <c r="A18" s="170" t="s">
        <v>142</v>
      </c>
      <c r="B18" s="436">
        <v>290</v>
      </c>
      <c r="C18" s="436">
        <v>50</v>
      </c>
      <c r="D18" s="15">
        <v>272</v>
      </c>
      <c r="E18" s="16"/>
      <c r="F18" s="15"/>
      <c r="G18" s="16"/>
      <c r="H18" s="15"/>
      <c r="I18" s="15"/>
      <c r="J18" s="15">
        <f t="shared" si="0"/>
        <v>68</v>
      </c>
      <c r="K18" s="73"/>
      <c r="L18" s="17" t="s">
        <v>112</v>
      </c>
      <c r="M18" s="73" t="s">
        <v>126</v>
      </c>
      <c r="N18"/>
      <c r="P18" s="65">
        <v>31</v>
      </c>
      <c r="Q18" s="65">
        <v>31</v>
      </c>
      <c r="R18" s="75">
        <f t="shared" si="1"/>
        <v>1</v>
      </c>
      <c r="S18" s="436"/>
      <c r="U18" s="169" t="s">
        <v>129</v>
      </c>
      <c r="X18" s="388">
        <v>2016</v>
      </c>
      <c r="AC18" s="15"/>
      <c r="AD18" s="16"/>
    </row>
    <row r="19" spans="1:30" ht="12" customHeight="1">
      <c r="A19" s="187" t="s">
        <v>131</v>
      </c>
      <c r="B19" s="535">
        <v>290</v>
      </c>
      <c r="C19" s="535">
        <v>50</v>
      </c>
      <c r="D19" s="15">
        <v>272</v>
      </c>
      <c r="E19" s="16"/>
      <c r="F19" s="15">
        <v>68</v>
      </c>
      <c r="G19" s="16">
        <v>42738</v>
      </c>
      <c r="H19" s="15"/>
      <c r="I19" s="15"/>
      <c r="J19" s="15">
        <v>0</v>
      </c>
      <c r="K19" s="98"/>
      <c r="L19" s="303" t="s">
        <v>112</v>
      </c>
      <c r="M19" s="98"/>
      <c r="N19"/>
      <c r="P19" s="65">
        <v>31</v>
      </c>
      <c r="Q19" s="65">
        <v>31</v>
      </c>
      <c r="R19" s="75">
        <f>P19/Q19</f>
        <v>1</v>
      </c>
      <c r="S19" s="76" t="s">
        <v>99</v>
      </c>
      <c r="T19" s="65" t="e">
        <f>IF(L19&lt;&gt;"",VLOOKUP(L19,Locataires!C$5:L$26,4,0),"pas de Locataire")</f>
        <v>#N/A</v>
      </c>
      <c r="U19" s="76" t="e">
        <f>IF(L19&lt;&gt;"",VLOOKUP(L19,Locataires!C$5:L$26,5,0),"?")</f>
        <v>#N/A</v>
      </c>
      <c r="V19" s="198">
        <v>42857.903495370374</v>
      </c>
      <c r="W19" s="142">
        <v>42739</v>
      </c>
      <c r="X19" s="563">
        <v>2017</v>
      </c>
      <c r="Y19" s="147"/>
      <c r="AC19" s="15">
        <v>0</v>
      </c>
      <c r="AD19" s="16"/>
    </row>
    <row r="20" spans="1:30" ht="12" customHeight="1">
      <c r="A20" s="187" t="s">
        <v>147</v>
      </c>
      <c r="B20" s="535">
        <v>290</v>
      </c>
      <c r="C20" s="535">
        <v>50</v>
      </c>
      <c r="D20" s="15">
        <v>272</v>
      </c>
      <c r="E20" s="16"/>
      <c r="F20" s="15">
        <v>68</v>
      </c>
      <c r="G20" s="16">
        <v>42737</v>
      </c>
      <c r="H20" s="15"/>
      <c r="I20" s="15"/>
      <c r="J20" s="15">
        <v>0</v>
      </c>
      <c r="K20" s="98"/>
      <c r="L20" s="303" t="s">
        <v>112</v>
      </c>
      <c r="M20" s="98"/>
      <c r="N20"/>
      <c r="P20" s="65">
        <v>28</v>
      </c>
      <c r="Q20" s="65">
        <v>28</v>
      </c>
      <c r="R20" s="75">
        <f t="shared" ref="R20:R30" si="2">P20/Q20</f>
        <v>1</v>
      </c>
      <c r="S20" s="76" t="s">
        <v>99</v>
      </c>
      <c r="T20" s="65" t="e">
        <f>IF(L20&lt;&gt;"",VLOOKUP(L20,Locataires!C$5:L$26,4,0),"pas de Locataire")</f>
        <v>#N/A</v>
      </c>
      <c r="U20" s="76" t="e">
        <f>IF(L20&lt;&gt;"",VLOOKUP(L20,Locataires!C$5:L$26,5,0),"?")</f>
        <v>#N/A</v>
      </c>
      <c r="V20" s="198">
        <v>42768.714479166665</v>
      </c>
      <c r="X20" s="563">
        <v>2017</v>
      </c>
      <c r="AC20" s="15">
        <v>0</v>
      </c>
      <c r="AD20" s="16"/>
    </row>
    <row r="21" spans="1:30" ht="12" customHeight="1">
      <c r="A21" s="187" t="s">
        <v>372</v>
      </c>
      <c r="B21" s="535">
        <v>290</v>
      </c>
      <c r="C21" s="535">
        <v>50</v>
      </c>
      <c r="D21" s="15">
        <v>272</v>
      </c>
      <c r="E21" s="16">
        <v>42800</v>
      </c>
      <c r="F21" s="15">
        <v>68</v>
      </c>
      <c r="G21" s="16">
        <v>42796</v>
      </c>
      <c r="H21" s="15"/>
      <c r="I21" s="15"/>
      <c r="J21" s="15">
        <v>0</v>
      </c>
      <c r="K21" s="98">
        <v>42797</v>
      </c>
      <c r="L21" s="303" t="s">
        <v>112</v>
      </c>
      <c r="M21" s="98"/>
      <c r="N21"/>
      <c r="P21" s="65">
        <v>31</v>
      </c>
      <c r="Q21" s="65">
        <v>31</v>
      </c>
      <c r="R21" s="75">
        <f t="shared" si="2"/>
        <v>1</v>
      </c>
      <c r="S21" s="76" t="s">
        <v>99</v>
      </c>
      <c r="T21" s="65" t="e">
        <f>IF(L21&lt;&gt;"",VLOOKUP(L21,Locataires!C$5:L$26,4,0),"pas de Locataire")</f>
        <v>#N/A</v>
      </c>
      <c r="U21" s="76" t="e">
        <f>IF(L21&lt;&gt;"",VLOOKUP(L21,Locataires!C$5:L$26,5,0),"?")</f>
        <v>#N/A</v>
      </c>
      <c r="V21" s="198">
        <v>42819.870347222219</v>
      </c>
      <c r="X21" s="563">
        <v>2017</v>
      </c>
      <c r="AC21" s="15">
        <v>0</v>
      </c>
      <c r="AD21" s="16"/>
    </row>
    <row r="22" spans="1:30" ht="12" customHeight="1">
      <c r="A22" s="187" t="s">
        <v>132</v>
      </c>
      <c r="B22" s="535">
        <v>290</v>
      </c>
      <c r="C22" s="535">
        <v>50</v>
      </c>
      <c r="D22" s="15">
        <v>272</v>
      </c>
      <c r="E22" s="16">
        <v>42830</v>
      </c>
      <c r="F22" s="15">
        <v>68</v>
      </c>
      <c r="G22" s="16">
        <v>42829</v>
      </c>
      <c r="H22" s="15"/>
      <c r="I22" s="15"/>
      <c r="J22" s="15">
        <v>0</v>
      </c>
      <c r="K22" s="98">
        <v>42829</v>
      </c>
      <c r="L22" s="303" t="s">
        <v>112</v>
      </c>
      <c r="M22" s="98"/>
      <c r="N22"/>
      <c r="P22" s="65">
        <v>30</v>
      </c>
      <c r="Q22" s="65">
        <v>30</v>
      </c>
      <c r="R22" s="75">
        <f t="shared" si="2"/>
        <v>1</v>
      </c>
      <c r="S22" s="76" t="s">
        <v>99</v>
      </c>
      <c r="T22" s="65" t="e">
        <f>IF(L22&lt;&gt;"",VLOOKUP(L22,Locataires!C$5:L$26,4,0),"pas de Locataire")</f>
        <v>#N/A</v>
      </c>
      <c r="U22" s="76" t="e">
        <f>IF(L22&lt;&gt;"",VLOOKUP(L22,Locataires!C$5:L$26,5,0),"?")</f>
        <v>#N/A</v>
      </c>
      <c r="V22" s="198">
        <v>42892.88685185185</v>
      </c>
      <c r="X22" s="563">
        <v>2017</v>
      </c>
      <c r="AC22" s="15">
        <v>0</v>
      </c>
      <c r="AD22" s="16"/>
    </row>
    <row r="23" spans="1:30" ht="12" customHeight="1">
      <c r="A23" s="187" t="s">
        <v>136</v>
      </c>
      <c r="B23" s="535">
        <v>290</v>
      </c>
      <c r="C23" s="535">
        <v>50</v>
      </c>
      <c r="D23" s="15">
        <v>272</v>
      </c>
      <c r="E23" s="16">
        <v>42860</v>
      </c>
      <c r="F23" s="15">
        <v>68</v>
      </c>
      <c r="G23" s="16">
        <v>42858</v>
      </c>
      <c r="H23" s="15"/>
      <c r="I23" s="15"/>
      <c r="J23" s="15">
        <v>0</v>
      </c>
      <c r="K23" s="98">
        <v>42859</v>
      </c>
      <c r="L23" s="303" t="s">
        <v>112</v>
      </c>
      <c r="M23" s="98"/>
      <c r="N23" t="s">
        <v>25</v>
      </c>
      <c r="P23" s="65">
        <v>31</v>
      </c>
      <c r="Q23" s="65">
        <v>31</v>
      </c>
      <c r="R23" s="75">
        <f t="shared" si="2"/>
        <v>1</v>
      </c>
      <c r="S23" s="76" t="s">
        <v>99</v>
      </c>
      <c r="T23" s="65" t="e">
        <f>IF(L23&lt;&gt;"",VLOOKUP(L23,Locataires!C$5:L$26,4,0),"pas de Locataire")</f>
        <v>#N/A</v>
      </c>
      <c r="U23" s="76" t="e">
        <f>IF(L23&lt;&gt;"",VLOOKUP(L23,Locataires!C$5:L$26,5,0),"?")</f>
        <v>#N/A</v>
      </c>
      <c r="V23" s="198">
        <v>42877.268495370372</v>
      </c>
      <c r="X23" s="563">
        <v>2017</v>
      </c>
      <c r="AC23" s="15">
        <v>0</v>
      </c>
      <c r="AD23" s="16"/>
    </row>
    <row r="24" spans="1:30" ht="12" customHeight="1">
      <c r="A24" s="187" t="s">
        <v>137</v>
      </c>
      <c r="B24" s="535">
        <v>290</v>
      </c>
      <c r="C24" s="535">
        <v>50</v>
      </c>
      <c r="D24" s="15">
        <v>272</v>
      </c>
      <c r="E24" s="16">
        <v>42892</v>
      </c>
      <c r="F24" s="15">
        <v>68</v>
      </c>
      <c r="G24" s="16">
        <v>42888</v>
      </c>
      <c r="H24" s="15"/>
      <c r="I24" s="15"/>
      <c r="J24" s="15">
        <v>0</v>
      </c>
      <c r="K24" s="98">
        <v>42892</v>
      </c>
      <c r="L24" s="303" t="s">
        <v>112</v>
      </c>
      <c r="M24" s="98"/>
      <c r="N24"/>
      <c r="P24" s="65">
        <v>30</v>
      </c>
      <c r="Q24" s="65">
        <v>30</v>
      </c>
      <c r="R24" s="75">
        <f t="shared" si="2"/>
        <v>1</v>
      </c>
      <c r="S24" s="76" t="s">
        <v>99</v>
      </c>
      <c r="T24" s="65" t="e">
        <f>IF(L24&lt;&gt;"",VLOOKUP(L24,Locataires!C$5:L$26,4,0),"pas de Locataire")</f>
        <v>#N/A</v>
      </c>
      <c r="U24" s="76" t="e">
        <f>IF(L24&lt;&gt;"",VLOOKUP(L24,Locataires!C$5:L$26,5,0),"?")</f>
        <v>#N/A</v>
      </c>
      <c r="V24" s="198">
        <v>42900.942083333335</v>
      </c>
      <c r="X24" s="563">
        <v>2017</v>
      </c>
      <c r="AC24" s="15">
        <v>0</v>
      </c>
      <c r="AD24" s="16"/>
    </row>
    <row r="25" spans="1:30" ht="12" customHeight="1">
      <c r="A25" s="187" t="s">
        <v>138</v>
      </c>
      <c r="B25" s="535">
        <v>290</v>
      </c>
      <c r="C25" s="535">
        <v>50</v>
      </c>
      <c r="D25" s="15">
        <v>272</v>
      </c>
      <c r="E25" s="16">
        <v>42921</v>
      </c>
      <c r="F25" s="15">
        <v>68</v>
      </c>
      <c r="G25" s="16"/>
      <c r="H25" s="15"/>
      <c r="I25" s="15"/>
      <c r="J25" s="15">
        <v>0</v>
      </c>
      <c r="K25" s="98">
        <v>42929</v>
      </c>
      <c r="L25" s="303" t="s">
        <v>112</v>
      </c>
      <c r="M25" s="98"/>
      <c r="N25"/>
      <c r="P25" s="65">
        <v>31</v>
      </c>
      <c r="Q25" s="65">
        <v>31</v>
      </c>
      <c r="R25" s="75">
        <f t="shared" si="2"/>
        <v>1</v>
      </c>
      <c r="S25" s="76" t="s">
        <v>99</v>
      </c>
      <c r="T25" s="65" t="e">
        <f>IF(L25&lt;&gt;"",VLOOKUP(L25,Locataires!C$5:L$26,4,0),"pas de Locataire")</f>
        <v>#N/A</v>
      </c>
      <c r="U25" s="76" t="e">
        <f>IF(L25&lt;&gt;"",VLOOKUP(L25,Locataires!C$5:L$26,5,0),"?")</f>
        <v>#N/A</v>
      </c>
      <c r="V25" s="359" t="s">
        <v>116</v>
      </c>
      <c r="X25" s="563">
        <v>2017</v>
      </c>
      <c r="AC25" s="15">
        <v>0</v>
      </c>
      <c r="AD25" s="16"/>
    </row>
    <row r="26" spans="1:30" ht="12" customHeight="1">
      <c r="A26" s="187" t="s">
        <v>139</v>
      </c>
      <c r="B26" s="535">
        <v>290</v>
      </c>
      <c r="C26" s="535">
        <v>50</v>
      </c>
      <c r="D26" s="15">
        <v>272</v>
      </c>
      <c r="E26" s="16">
        <v>42950</v>
      </c>
      <c r="F26" s="15">
        <v>68</v>
      </c>
      <c r="G26" s="16">
        <v>42958</v>
      </c>
      <c r="H26" s="15"/>
      <c r="I26" s="15"/>
      <c r="J26" s="15">
        <v>0</v>
      </c>
      <c r="K26" s="98">
        <v>42956</v>
      </c>
      <c r="L26" s="303" t="s">
        <v>112</v>
      </c>
      <c r="M26" s="98"/>
      <c r="N26"/>
      <c r="P26" s="65">
        <v>31</v>
      </c>
      <c r="Q26" s="65">
        <v>31</v>
      </c>
      <c r="R26" s="75">
        <f t="shared" si="2"/>
        <v>1</v>
      </c>
      <c r="S26" s="76" t="s">
        <v>99</v>
      </c>
      <c r="T26" s="65" t="e">
        <f>IF(L26&lt;&gt;"",VLOOKUP(L26,Locataires!C$5:L$26,4,0),"pas de Locataire")</f>
        <v>#N/A</v>
      </c>
      <c r="U26" s="76" t="e">
        <f>IF(L26&lt;&gt;"",VLOOKUP(L26,Locataires!C$5:L$26,5,0),"?")</f>
        <v>#N/A</v>
      </c>
      <c r="V26" s="359" t="s">
        <v>116</v>
      </c>
      <c r="X26" s="563">
        <v>2017</v>
      </c>
      <c r="AC26" s="15">
        <v>0</v>
      </c>
      <c r="AD26" s="16"/>
    </row>
    <row r="27" spans="1:30" ht="12" customHeight="1">
      <c r="A27" s="187" t="s">
        <v>140</v>
      </c>
      <c r="B27" s="535">
        <v>290</v>
      </c>
      <c r="C27" s="535">
        <v>50</v>
      </c>
      <c r="D27" s="15">
        <v>272</v>
      </c>
      <c r="E27" s="16">
        <v>42983</v>
      </c>
      <c r="F27" s="15">
        <v>68</v>
      </c>
      <c r="G27" s="16">
        <v>42994</v>
      </c>
      <c r="H27" s="15"/>
      <c r="I27" s="15"/>
      <c r="J27" s="15">
        <v>0</v>
      </c>
      <c r="K27" s="98">
        <v>42996</v>
      </c>
      <c r="L27" s="303" t="s">
        <v>112</v>
      </c>
      <c r="M27" s="98"/>
      <c r="N27"/>
      <c r="P27" s="65">
        <v>30</v>
      </c>
      <c r="Q27" s="65">
        <v>30</v>
      </c>
      <c r="R27" s="75">
        <f t="shared" si="2"/>
        <v>1</v>
      </c>
      <c r="S27" s="76" t="s">
        <v>99</v>
      </c>
      <c r="T27" s="65" t="e">
        <f>IF(L27&lt;&gt;"",VLOOKUP(L27,Locataires!C$5:L$26,4,0),"pas de Locataire")</f>
        <v>#N/A</v>
      </c>
      <c r="U27" s="76" t="e">
        <f>IF(L27&lt;&gt;"",VLOOKUP(L27,Locataires!C$5:L$26,5,0),"?")</f>
        <v>#N/A</v>
      </c>
      <c r="V27" s="359" t="s">
        <v>116</v>
      </c>
      <c r="X27" s="563">
        <v>2017</v>
      </c>
      <c r="Y27" s="147"/>
      <c r="AC27" s="15">
        <v>0</v>
      </c>
      <c r="AD27" s="16" t="s">
        <v>25</v>
      </c>
    </row>
    <row r="28" spans="1:30" ht="11.25" customHeight="1">
      <c r="A28" s="187" t="s">
        <v>141</v>
      </c>
      <c r="B28" s="535">
        <v>290</v>
      </c>
      <c r="C28" s="535">
        <v>50</v>
      </c>
      <c r="D28" s="15">
        <v>272</v>
      </c>
      <c r="E28" s="16">
        <v>43013</v>
      </c>
      <c r="F28" s="15">
        <v>68</v>
      </c>
      <c r="G28" s="16">
        <v>43020</v>
      </c>
      <c r="H28" s="15"/>
      <c r="I28" s="15"/>
      <c r="J28" s="15">
        <v>0</v>
      </c>
      <c r="K28" s="98">
        <v>43021</v>
      </c>
      <c r="L28" s="303" t="s">
        <v>112</v>
      </c>
      <c r="M28" s="98"/>
      <c r="N28"/>
      <c r="P28" s="65">
        <v>31</v>
      </c>
      <c r="Q28" s="65">
        <v>31</v>
      </c>
      <c r="R28" s="75">
        <f t="shared" si="2"/>
        <v>1</v>
      </c>
      <c r="S28" s="76" t="s">
        <v>99</v>
      </c>
      <c r="T28" s="65" t="e">
        <f>IF(L28&lt;&gt;"",VLOOKUP(L28,Locataires!C$5:L$26,4,0),"pas de Locataire")</f>
        <v>#N/A</v>
      </c>
      <c r="U28" s="76" t="e">
        <f>IF(L28&lt;&gt;"",VLOOKUP(L28,Locataires!C$5:L$26,5,0),"?")</f>
        <v>#N/A</v>
      </c>
      <c r="V28" s="359" t="s">
        <v>116</v>
      </c>
      <c r="X28" s="563">
        <v>2017</v>
      </c>
      <c r="AC28" s="15">
        <v>0</v>
      </c>
      <c r="AD28" s="16"/>
    </row>
    <row r="29" spans="1:30" ht="12" customHeight="1">
      <c r="A29" s="188" t="s">
        <v>135</v>
      </c>
      <c r="B29" s="535">
        <v>290</v>
      </c>
      <c r="C29" s="535">
        <v>50</v>
      </c>
      <c r="D29" s="15">
        <v>269</v>
      </c>
      <c r="E29" s="127">
        <v>43045</v>
      </c>
      <c r="F29" s="126">
        <v>71</v>
      </c>
      <c r="G29" s="16">
        <v>43052</v>
      </c>
      <c r="H29" s="126">
        <v>0</v>
      </c>
      <c r="I29" s="126"/>
      <c r="J29" s="15">
        <v>0</v>
      </c>
      <c r="K29" s="128">
        <v>43053</v>
      </c>
      <c r="L29" s="303" t="s">
        <v>112</v>
      </c>
      <c r="M29" s="361"/>
      <c r="N29" s="361"/>
      <c r="O29" s="361"/>
      <c r="P29" s="130">
        <v>30</v>
      </c>
      <c r="Q29" s="130">
        <v>30</v>
      </c>
      <c r="R29" s="131">
        <f t="shared" si="2"/>
        <v>1</v>
      </c>
      <c r="S29" s="76" t="s">
        <v>99</v>
      </c>
      <c r="T29" s="65" t="e">
        <f>IF(L29&lt;&gt;"",VLOOKUP(L29,Locataires!C$5:L$26,4,0),"pas de Locataire")</f>
        <v>#N/A</v>
      </c>
      <c r="U29" s="76" t="e">
        <f>IF(L29&lt;&gt;"",VLOOKUP(L29,Locataires!C$5:L$26,5,0),"?")</f>
        <v>#N/A</v>
      </c>
      <c r="V29" s="359" t="s">
        <v>116</v>
      </c>
      <c r="X29" s="563">
        <v>2017</v>
      </c>
      <c r="AC29" s="15">
        <v>0</v>
      </c>
      <c r="AD29" s="16"/>
    </row>
    <row r="30" spans="1:30" ht="12" customHeight="1">
      <c r="A30" s="188" t="s">
        <v>142</v>
      </c>
      <c r="B30" s="535">
        <v>290</v>
      </c>
      <c r="C30" s="535">
        <v>50</v>
      </c>
      <c r="D30" s="15">
        <v>269</v>
      </c>
      <c r="E30" s="127">
        <v>43074</v>
      </c>
      <c r="F30" s="126">
        <v>71</v>
      </c>
      <c r="G30" s="16">
        <v>43081</v>
      </c>
      <c r="H30" s="126"/>
      <c r="I30" s="126"/>
      <c r="J30" s="15">
        <v>0</v>
      </c>
      <c r="K30" s="128">
        <v>43081</v>
      </c>
      <c r="L30" s="303" t="s">
        <v>112</v>
      </c>
      <c r="M30" s="128"/>
      <c r="N30" s="361"/>
      <c r="O30" s="361"/>
      <c r="P30" s="130">
        <v>31</v>
      </c>
      <c r="Q30" s="130">
        <v>31</v>
      </c>
      <c r="R30" s="131">
        <f t="shared" si="2"/>
        <v>1</v>
      </c>
      <c r="S30" s="76" t="s">
        <v>99</v>
      </c>
      <c r="T30" s="65" t="e">
        <f>IF(L30&lt;&gt;"",VLOOKUP(L30,Locataires!C$5:L$26,4,0),"pas de Locataire")</f>
        <v>#N/A</v>
      </c>
      <c r="U30" s="76" t="e">
        <f>IF(L30&lt;&gt;"",VLOOKUP(L30,Locataires!C$5:L$26,5,0),"?")</f>
        <v>#N/A</v>
      </c>
      <c r="V30" s="359" t="s">
        <v>116</v>
      </c>
      <c r="X30" s="563">
        <v>2017</v>
      </c>
      <c r="AC30" s="15">
        <v>0</v>
      </c>
      <c r="AD30" s="16"/>
    </row>
    <row r="31" spans="1:30" ht="11.25" customHeight="1">
      <c r="A31" s="187" t="s">
        <v>131</v>
      </c>
      <c r="B31" s="499">
        <v>290</v>
      </c>
      <c r="C31" s="499">
        <v>50</v>
      </c>
      <c r="D31" s="15">
        <v>269</v>
      </c>
      <c r="E31" s="16">
        <v>43105</v>
      </c>
      <c r="F31" s="15">
        <v>71</v>
      </c>
      <c r="G31" s="16">
        <v>43111</v>
      </c>
      <c r="H31" s="15"/>
      <c r="I31" s="15"/>
      <c r="J31" s="15">
        <v>0</v>
      </c>
      <c r="K31" s="98">
        <v>43111</v>
      </c>
      <c r="L31" s="303" t="s">
        <v>112</v>
      </c>
      <c r="M31" s="98"/>
      <c r="N31" s="501"/>
      <c r="O31" s="501"/>
      <c r="P31" s="65">
        <v>31</v>
      </c>
      <c r="Q31" s="65">
        <v>31</v>
      </c>
      <c r="R31" s="75">
        <f>P31/Q31</f>
        <v>1</v>
      </c>
      <c r="S31" s="76" t="s">
        <v>99</v>
      </c>
      <c r="T31" s="65" t="e">
        <f>IF(L31&lt;&gt;"",VLOOKUP(L31,Locataires!C$5:L$26,4,0),"pas de Locataire")</f>
        <v>#N/A</v>
      </c>
      <c r="U31" s="76" t="e">
        <f>IF(L31&lt;&gt;"",VLOOKUP(L31,Locataires!C$5:L$26,5,0),"?")</f>
        <v>#N/A</v>
      </c>
      <c r="V31" s="198">
        <v>42857.903495370374</v>
      </c>
      <c r="W31" s="142">
        <v>42739</v>
      </c>
      <c r="X31" s="504">
        <v>2018</v>
      </c>
      <c r="AC31" s="15">
        <v>0</v>
      </c>
      <c r="AD31" s="16"/>
    </row>
    <row r="32" spans="1:30" ht="11.25" customHeight="1">
      <c r="A32" s="187" t="s">
        <v>147</v>
      </c>
      <c r="B32" s="499">
        <v>290</v>
      </c>
      <c r="C32" s="499">
        <v>50</v>
      </c>
      <c r="D32" s="15">
        <v>269</v>
      </c>
      <c r="E32" s="16">
        <v>43136</v>
      </c>
      <c r="F32" s="15">
        <v>71</v>
      </c>
      <c r="G32" s="16">
        <v>43144</v>
      </c>
      <c r="H32" s="15"/>
      <c r="I32" s="15"/>
      <c r="J32" s="15">
        <v>0</v>
      </c>
      <c r="K32" s="98"/>
      <c r="L32" s="303" t="s">
        <v>112</v>
      </c>
      <c r="M32" s="98"/>
      <c r="N32" s="501" t="s">
        <v>781</v>
      </c>
      <c r="O32" s="501"/>
      <c r="P32" s="65">
        <v>28</v>
      </c>
      <c r="Q32" s="65">
        <v>28</v>
      </c>
      <c r="R32" s="75">
        <f t="shared" ref="R32:R42" si="3">P32/Q32</f>
        <v>1</v>
      </c>
      <c r="S32" s="76" t="s">
        <v>99</v>
      </c>
      <c r="T32" s="65" t="e">
        <f>IF(L32&lt;&gt;"",VLOOKUP(L32,Locataires!C$5:L$26,4,0),"pas de Locataire")</f>
        <v>#N/A</v>
      </c>
      <c r="U32" s="76" t="e">
        <f>IF(L32&lt;&gt;"",VLOOKUP(L32,Locataires!C$5:L$26,5,0),"?")</f>
        <v>#N/A</v>
      </c>
      <c r="V32" s="198">
        <v>42768.714479166665</v>
      </c>
      <c r="W32" s="501"/>
      <c r="X32" s="504">
        <v>2018</v>
      </c>
      <c r="AC32" s="15">
        <v>0</v>
      </c>
      <c r="AD32" s="16"/>
    </row>
    <row r="33" spans="1:30" ht="11.25" customHeight="1">
      <c r="A33" s="187" t="s">
        <v>372</v>
      </c>
      <c r="B33" s="499">
        <v>290</v>
      </c>
      <c r="C33" s="499">
        <v>50</v>
      </c>
      <c r="D33" s="15">
        <v>269</v>
      </c>
      <c r="E33" s="16">
        <v>43164</v>
      </c>
      <c r="F33" s="15">
        <v>71</v>
      </c>
      <c r="G33" s="16">
        <v>43172</v>
      </c>
      <c r="H33" s="15"/>
      <c r="I33" s="15"/>
      <c r="J33" s="15">
        <v>0</v>
      </c>
      <c r="K33" s="98"/>
      <c r="L33" s="303" t="s">
        <v>112</v>
      </c>
      <c r="M33" s="98"/>
      <c r="N33" s="501" t="s">
        <v>781</v>
      </c>
      <c r="O33" s="501"/>
      <c r="P33" s="65">
        <v>31</v>
      </c>
      <c r="Q33" s="65">
        <v>31</v>
      </c>
      <c r="R33" s="75">
        <f t="shared" si="3"/>
        <v>1</v>
      </c>
      <c r="S33" s="76" t="s">
        <v>99</v>
      </c>
      <c r="T33" s="65" t="e">
        <f>IF(L33&lt;&gt;"",VLOOKUP(L33,Locataires!C$5:L$26,4,0),"pas de Locataire")</f>
        <v>#N/A</v>
      </c>
      <c r="U33" s="76" t="e">
        <f>IF(L33&lt;&gt;"",VLOOKUP(L33,Locataires!C$5:L$26,5,0),"?")</f>
        <v>#N/A</v>
      </c>
      <c r="V33" s="198">
        <v>42819.870347222219</v>
      </c>
      <c r="W33" s="501"/>
      <c r="X33" s="504">
        <v>2018</v>
      </c>
      <c r="AC33" s="15">
        <v>0</v>
      </c>
      <c r="AD33" s="16"/>
    </row>
    <row r="34" spans="1:30" ht="11.25" customHeight="1">
      <c r="A34" s="187" t="s">
        <v>132</v>
      </c>
      <c r="B34" s="499">
        <v>290</v>
      </c>
      <c r="C34" s="499">
        <v>50</v>
      </c>
      <c r="D34" s="15">
        <v>269</v>
      </c>
      <c r="E34" s="16">
        <v>43195</v>
      </c>
      <c r="F34" s="15">
        <v>71</v>
      </c>
      <c r="G34" s="16">
        <v>43201</v>
      </c>
      <c r="H34" s="15"/>
      <c r="I34" s="15"/>
      <c r="J34" s="15">
        <v>0</v>
      </c>
      <c r="K34" s="98"/>
      <c r="L34" s="303" t="s">
        <v>112</v>
      </c>
      <c r="M34" s="98"/>
      <c r="N34" s="501" t="s">
        <v>781</v>
      </c>
      <c r="O34" s="501"/>
      <c r="P34" s="65">
        <v>30</v>
      </c>
      <c r="Q34" s="65">
        <v>30</v>
      </c>
      <c r="R34" s="75">
        <f t="shared" si="3"/>
        <v>1</v>
      </c>
      <c r="S34" s="76" t="s">
        <v>99</v>
      </c>
      <c r="T34" s="65" t="e">
        <f>IF(L34&lt;&gt;"",VLOOKUP(L34,Locataires!C$5:L$26,4,0),"pas de Locataire")</f>
        <v>#N/A</v>
      </c>
      <c r="U34" s="76" t="e">
        <f>IF(L34&lt;&gt;"",VLOOKUP(L34,Locataires!C$5:L$26,5,0),"?")</f>
        <v>#N/A</v>
      </c>
      <c r="V34" s="198">
        <v>42892.88685185185</v>
      </c>
      <c r="W34" s="501"/>
      <c r="X34" s="504">
        <v>2018</v>
      </c>
      <c r="AC34" s="15">
        <v>0</v>
      </c>
      <c r="AD34" s="16"/>
    </row>
    <row r="35" spans="1:30" ht="11.25" customHeight="1">
      <c r="A35" s="187" t="s">
        <v>136</v>
      </c>
      <c r="B35" s="499">
        <v>290</v>
      </c>
      <c r="C35" s="499">
        <v>50</v>
      </c>
      <c r="D35" s="15">
        <v>269</v>
      </c>
      <c r="E35" s="16">
        <v>43224</v>
      </c>
      <c r="F35" s="15">
        <v>71</v>
      </c>
      <c r="G35" s="16">
        <v>43234</v>
      </c>
      <c r="H35" s="15"/>
      <c r="I35" s="15"/>
      <c r="J35" s="15">
        <v>0</v>
      </c>
      <c r="K35" s="98">
        <v>43236</v>
      </c>
      <c r="L35" s="303" t="s">
        <v>112</v>
      </c>
      <c r="M35" s="98"/>
      <c r="N35" s="501" t="s">
        <v>787</v>
      </c>
      <c r="O35" s="501"/>
      <c r="P35" s="65">
        <v>31</v>
      </c>
      <c r="Q35" s="65">
        <v>31</v>
      </c>
      <c r="R35" s="75">
        <f t="shared" si="3"/>
        <v>1</v>
      </c>
      <c r="S35" s="76" t="s">
        <v>99</v>
      </c>
      <c r="T35" s="65" t="e">
        <f>IF(L35&lt;&gt;"",VLOOKUP(L35,Locataires!C$5:L$26,4,0),"pas de Locataire")</f>
        <v>#N/A</v>
      </c>
      <c r="U35" s="76" t="e">
        <f>IF(L35&lt;&gt;"",VLOOKUP(L35,Locataires!C$5:L$26,5,0),"?")</f>
        <v>#N/A</v>
      </c>
      <c r="V35" s="198">
        <v>42877.268495370372</v>
      </c>
      <c r="W35" s="501"/>
      <c r="X35" s="504">
        <v>2018</v>
      </c>
      <c r="AC35" s="15">
        <v>0</v>
      </c>
      <c r="AD35" s="16"/>
    </row>
    <row r="36" spans="1:30" ht="11.25" customHeight="1">
      <c r="A36" s="187" t="s">
        <v>137</v>
      </c>
      <c r="B36" s="499">
        <v>290</v>
      </c>
      <c r="C36" s="499">
        <v>50</v>
      </c>
      <c r="D36" s="15">
        <v>269</v>
      </c>
      <c r="E36" s="16">
        <v>43257</v>
      </c>
      <c r="F36" s="15">
        <v>71</v>
      </c>
      <c r="G36" s="16">
        <v>43263</v>
      </c>
      <c r="H36" s="15"/>
      <c r="I36" s="15"/>
      <c r="J36" s="15">
        <v>0</v>
      </c>
      <c r="K36" s="98">
        <v>43264</v>
      </c>
      <c r="L36" s="303" t="s">
        <v>112</v>
      </c>
      <c r="M36" s="98"/>
      <c r="N36" s="501" t="s">
        <v>787</v>
      </c>
      <c r="O36" s="501"/>
      <c r="P36" s="65">
        <v>30</v>
      </c>
      <c r="Q36" s="65">
        <v>30</v>
      </c>
      <c r="R36" s="75">
        <f t="shared" si="3"/>
        <v>1</v>
      </c>
      <c r="S36" s="76" t="s">
        <v>99</v>
      </c>
      <c r="T36" s="65" t="e">
        <f>IF(L36&lt;&gt;"",VLOOKUP(L36,Locataires!C$5:L$26,4,0),"pas de Locataire")</f>
        <v>#N/A</v>
      </c>
      <c r="U36" s="76" t="e">
        <f>IF(L36&lt;&gt;"",VLOOKUP(L36,Locataires!C$5:L$26,5,0),"?")</f>
        <v>#N/A</v>
      </c>
      <c r="V36" s="198">
        <v>42900.942083333335</v>
      </c>
      <c r="W36" s="501"/>
      <c r="X36" s="504">
        <v>2018</v>
      </c>
      <c r="AC36" s="15">
        <v>0</v>
      </c>
      <c r="AD36" s="16"/>
    </row>
    <row r="37" spans="1:30" ht="11.25" customHeight="1">
      <c r="A37" s="187" t="s">
        <v>138</v>
      </c>
      <c r="B37" s="499">
        <v>290</v>
      </c>
      <c r="C37" s="499">
        <v>50</v>
      </c>
      <c r="D37" s="15">
        <v>269</v>
      </c>
      <c r="E37" s="16">
        <v>43286</v>
      </c>
      <c r="F37" s="15">
        <v>71</v>
      </c>
      <c r="G37" s="16">
        <v>43262</v>
      </c>
      <c r="H37" s="15"/>
      <c r="I37" s="15"/>
      <c r="J37" s="15">
        <v>0</v>
      </c>
      <c r="K37" s="98"/>
      <c r="L37" s="303" t="s">
        <v>112</v>
      </c>
      <c r="M37" s="98"/>
      <c r="N37" s="501" t="s">
        <v>787</v>
      </c>
      <c r="O37" s="501"/>
      <c r="P37" s="65">
        <v>31</v>
      </c>
      <c r="Q37" s="65">
        <v>31</v>
      </c>
      <c r="R37" s="75">
        <f t="shared" si="3"/>
        <v>1</v>
      </c>
      <c r="S37" s="76" t="s">
        <v>99</v>
      </c>
      <c r="T37" s="65" t="e">
        <f>IF(L37&lt;&gt;"",VLOOKUP(L37,Locataires!C$5:L$26,4,0),"pas de Locataire")</f>
        <v>#N/A</v>
      </c>
      <c r="U37" s="76" t="e">
        <f>IF(L37&lt;&gt;"",VLOOKUP(L37,Locataires!C$5:L$26,5,0),"?")</f>
        <v>#N/A</v>
      </c>
      <c r="V37" s="500" t="s">
        <v>116</v>
      </c>
      <c r="W37" s="501"/>
      <c r="X37" s="504">
        <v>2018</v>
      </c>
      <c r="AC37" s="15">
        <v>0</v>
      </c>
      <c r="AD37" s="16"/>
    </row>
    <row r="38" spans="1:30" ht="11.25" customHeight="1">
      <c r="A38" s="187" t="s">
        <v>139</v>
      </c>
      <c r="B38" s="499">
        <v>290</v>
      </c>
      <c r="C38" s="499">
        <v>50</v>
      </c>
      <c r="D38" s="15"/>
      <c r="E38" s="16"/>
      <c r="F38" s="15">
        <v>340</v>
      </c>
      <c r="G38" s="16">
        <v>43314</v>
      </c>
      <c r="H38" s="15"/>
      <c r="I38" s="15"/>
      <c r="J38" s="15">
        <v>0</v>
      </c>
      <c r="K38" s="98">
        <v>43314</v>
      </c>
      <c r="L38" s="303" t="s">
        <v>804</v>
      </c>
      <c r="M38" s="98"/>
      <c r="N38" s="501"/>
      <c r="O38" s="501"/>
      <c r="P38" s="65">
        <v>31</v>
      </c>
      <c r="Q38" s="65">
        <v>31</v>
      </c>
      <c r="R38" s="75">
        <f t="shared" si="3"/>
        <v>1</v>
      </c>
      <c r="S38" s="76" t="s">
        <v>99</v>
      </c>
      <c r="T38" s="65" t="e">
        <f>IF(L38&lt;&gt;"",VLOOKUP(L38,Locataires!C$5:L$26,4,0),"pas de Locataire")</f>
        <v>#N/A</v>
      </c>
      <c r="U38" s="76" t="e">
        <f>IF(L38&lt;&gt;"",VLOOKUP(L38,Locataires!C$5:L$26,5,0),"?")</f>
        <v>#N/A</v>
      </c>
      <c r="V38" s="500" t="s">
        <v>116</v>
      </c>
      <c r="W38" s="501"/>
      <c r="X38" s="504">
        <v>2018</v>
      </c>
      <c r="AC38" s="15">
        <v>0</v>
      </c>
      <c r="AD38" s="16"/>
    </row>
    <row r="39" spans="1:30" ht="11.25" customHeight="1">
      <c r="A39" s="187" t="s">
        <v>140</v>
      </c>
      <c r="B39" s="499">
        <v>290</v>
      </c>
      <c r="C39" s="499">
        <v>50</v>
      </c>
      <c r="D39" s="15"/>
      <c r="E39" s="16"/>
      <c r="F39" s="15"/>
      <c r="G39" s="16"/>
      <c r="H39" s="15"/>
      <c r="I39" s="15"/>
      <c r="J39" s="15">
        <v>-340</v>
      </c>
      <c r="K39" s="98"/>
      <c r="L39" s="303" t="s">
        <v>804</v>
      </c>
      <c r="M39" s="98"/>
      <c r="N39" s="501"/>
      <c r="O39" s="501"/>
      <c r="P39" s="65">
        <v>30</v>
      </c>
      <c r="Q39" s="65">
        <v>30</v>
      </c>
      <c r="R39" s="75">
        <f t="shared" si="3"/>
        <v>1</v>
      </c>
      <c r="S39" s="76" t="s">
        <v>99</v>
      </c>
      <c r="T39" s="65" t="e">
        <f>IF(L39&lt;&gt;"",VLOOKUP(L39,Locataires!C$5:L$26,4,0),"pas de Locataire")</f>
        <v>#N/A</v>
      </c>
      <c r="U39" s="76" t="e">
        <f>IF(L39&lt;&gt;"",VLOOKUP(L39,Locataires!C$5:L$26,5,0),"?")</f>
        <v>#N/A</v>
      </c>
      <c r="V39" s="500" t="s">
        <v>116</v>
      </c>
      <c r="W39" s="501"/>
      <c r="X39" s="504">
        <v>2018</v>
      </c>
      <c r="AC39" s="15">
        <v>0</v>
      </c>
      <c r="AD39" s="16"/>
    </row>
    <row r="40" spans="1:30" ht="11.25" customHeight="1">
      <c r="A40" s="187" t="s">
        <v>141</v>
      </c>
      <c r="B40" s="499">
        <v>290</v>
      </c>
      <c r="C40" s="499">
        <v>50</v>
      </c>
      <c r="D40" s="15"/>
      <c r="E40" s="16"/>
      <c r="F40" s="15"/>
      <c r="G40" s="16"/>
      <c r="H40" s="15"/>
      <c r="I40" s="15"/>
      <c r="J40" s="15">
        <v>-340</v>
      </c>
      <c r="K40" s="98"/>
      <c r="L40" s="303" t="s">
        <v>804</v>
      </c>
      <c r="M40" s="98"/>
      <c r="N40" s="501"/>
      <c r="O40" s="501"/>
      <c r="P40" s="65">
        <v>31</v>
      </c>
      <c r="Q40" s="65">
        <v>31</v>
      </c>
      <c r="R40" s="75">
        <f t="shared" si="3"/>
        <v>1</v>
      </c>
      <c r="S40" s="76" t="s">
        <v>99</v>
      </c>
      <c r="T40" s="65" t="e">
        <f>IF(L40&lt;&gt;"",VLOOKUP(L40,Locataires!C$5:L$26,4,0),"pas de Locataire")</f>
        <v>#N/A</v>
      </c>
      <c r="U40" s="76" t="e">
        <f>IF(L40&lt;&gt;"",VLOOKUP(L40,Locataires!C$5:L$26,5,0),"?")</f>
        <v>#N/A</v>
      </c>
      <c r="V40" s="500" t="s">
        <v>116</v>
      </c>
      <c r="W40" s="501"/>
      <c r="X40" s="504">
        <v>2018</v>
      </c>
      <c r="AC40" s="15">
        <v>0</v>
      </c>
      <c r="AD40" s="16"/>
    </row>
    <row r="41" spans="1:30" ht="11.25" customHeight="1">
      <c r="A41" s="188" t="s">
        <v>135</v>
      </c>
      <c r="B41" s="499">
        <v>290</v>
      </c>
      <c r="C41" s="499">
        <v>50</v>
      </c>
      <c r="D41" s="15"/>
      <c r="E41" s="127"/>
      <c r="F41" s="126"/>
      <c r="G41" s="16"/>
      <c r="H41" s="126"/>
      <c r="I41" s="126"/>
      <c r="J41" s="15">
        <v>-340</v>
      </c>
      <c r="K41" s="128"/>
      <c r="L41" s="303" t="s">
        <v>804</v>
      </c>
      <c r="M41" s="502"/>
      <c r="N41" s="502"/>
      <c r="O41" s="502"/>
      <c r="P41" s="130">
        <v>30</v>
      </c>
      <c r="Q41" s="130">
        <v>30</v>
      </c>
      <c r="R41" s="131">
        <f t="shared" si="3"/>
        <v>1</v>
      </c>
      <c r="S41" s="76" t="s">
        <v>99</v>
      </c>
      <c r="T41" s="65" t="e">
        <f>IF(L41&lt;&gt;"",VLOOKUP(L41,Locataires!C$5:L$26,4,0),"pas de Locataire")</f>
        <v>#N/A</v>
      </c>
      <c r="U41" s="76" t="e">
        <f>IF(L41&lt;&gt;"",VLOOKUP(L41,Locataires!C$5:L$26,5,0),"?")</f>
        <v>#N/A</v>
      </c>
      <c r="V41" s="500" t="s">
        <v>116</v>
      </c>
      <c r="W41" s="501"/>
      <c r="X41" s="504">
        <v>2018</v>
      </c>
      <c r="AC41" s="15">
        <v>0</v>
      </c>
      <c r="AD41" s="16"/>
    </row>
    <row r="42" spans="1:30" ht="11.25" customHeight="1">
      <c r="A42" s="188" t="s">
        <v>142</v>
      </c>
      <c r="B42" s="499">
        <v>290</v>
      </c>
      <c r="C42" s="499">
        <v>50</v>
      </c>
      <c r="D42" s="15"/>
      <c r="E42" s="127"/>
      <c r="F42" s="126"/>
      <c r="G42" s="16"/>
      <c r="H42" s="126"/>
      <c r="I42" s="126"/>
      <c r="J42" s="15">
        <v>-340</v>
      </c>
      <c r="K42" s="128"/>
      <c r="L42" s="303" t="s">
        <v>804</v>
      </c>
      <c r="M42" s="128"/>
      <c r="N42" s="502"/>
      <c r="O42" s="502"/>
      <c r="P42" s="130">
        <v>31</v>
      </c>
      <c r="Q42" s="130">
        <v>31</v>
      </c>
      <c r="R42" s="131">
        <f t="shared" si="3"/>
        <v>1</v>
      </c>
      <c r="S42" s="76" t="s">
        <v>99</v>
      </c>
      <c r="T42" s="65" t="e">
        <f>IF(L42&lt;&gt;"",VLOOKUP(L42,Locataires!C$5:L$26,4,0),"pas de Locataire")</f>
        <v>#N/A</v>
      </c>
      <c r="U42" s="76" t="e">
        <f>IF(L42&lt;&gt;"",VLOOKUP(L42,Locataires!C$5:L$26,5,0),"?")</f>
        <v>#N/A</v>
      </c>
      <c r="V42" s="500" t="s">
        <v>116</v>
      </c>
      <c r="W42" s="501"/>
      <c r="X42" s="504">
        <v>2018</v>
      </c>
      <c r="AC42" s="15">
        <v>0</v>
      </c>
      <c r="AD42" s="16"/>
    </row>
    <row r="43" spans="1:30">
      <c r="AC43" s="15"/>
      <c r="AD43" s="16"/>
    </row>
    <row r="44" spans="1:30">
      <c r="AC44" s="15"/>
      <c r="AD44" s="16"/>
    </row>
    <row r="45" spans="1:30">
      <c r="AC45" s="15"/>
      <c r="AD45" s="16"/>
    </row>
    <row r="46" spans="1:30">
      <c r="AC46" s="15"/>
      <c r="AD46" s="16"/>
    </row>
    <row r="47" spans="1:30">
      <c r="AC47" s="15"/>
      <c r="AD47" s="16"/>
    </row>
    <row r="48" spans="1:30">
      <c r="AC48" s="15"/>
      <c r="AD48" s="16"/>
    </row>
    <row r="49" spans="29:30">
      <c r="AC49" s="15"/>
      <c r="AD49" s="16"/>
    </row>
    <row r="50" spans="29:30">
      <c r="AC50" s="15"/>
      <c r="AD50" s="16"/>
    </row>
    <row r="51" spans="29:30">
      <c r="AC51" s="15"/>
      <c r="AD51" s="16"/>
    </row>
    <row r="52" spans="29:30">
      <c r="AC52" s="15"/>
      <c r="AD52" s="16"/>
    </row>
    <row r="53" spans="29:30">
      <c r="AC53" s="126"/>
      <c r="AD53" s="16"/>
    </row>
    <row r="54" spans="29:30">
      <c r="AC54" s="126"/>
      <c r="AD54" s="16"/>
    </row>
    <row r="55" spans="29:30">
      <c r="AC55" s="15"/>
      <c r="AD55" s="16"/>
    </row>
    <row r="56" spans="29:30">
      <c r="AC56" s="15"/>
      <c r="AD56" s="16"/>
    </row>
    <row r="57" spans="29:30">
      <c r="AC57" s="15"/>
      <c r="AD57" s="16"/>
    </row>
    <row r="58" spans="29:30">
      <c r="AC58" s="15"/>
      <c r="AD58" s="16"/>
    </row>
    <row r="59" spans="29:30">
      <c r="AC59" s="15"/>
      <c r="AD59" s="16"/>
    </row>
    <row r="60" spans="29:30">
      <c r="AC60" s="15"/>
      <c r="AD60" s="16"/>
    </row>
    <row r="61" spans="29:30">
      <c r="AC61" s="15"/>
      <c r="AD61" s="16"/>
    </row>
    <row r="62" spans="29:30">
      <c r="AC62" s="15"/>
      <c r="AD62" s="16"/>
    </row>
    <row r="63" spans="29:30">
      <c r="AC63" s="15"/>
      <c r="AD63" s="16"/>
    </row>
    <row r="64" spans="29:30">
      <c r="AC64" s="15"/>
      <c r="AD64" s="16"/>
    </row>
    <row r="65" spans="29:30">
      <c r="AC65" s="126"/>
      <c r="AD65" s="16"/>
    </row>
    <row r="66" spans="29:30">
      <c r="AC66" s="126"/>
      <c r="AD66" s="16"/>
    </row>
  </sheetData>
  <sheetProtection selectLockedCells="1" selectUnlockedCells="1"/>
  <mergeCells count="13">
    <mergeCell ref="AC5:AD5"/>
    <mergeCell ref="C2:D2"/>
    <mergeCell ref="E2:G2"/>
    <mergeCell ref="I2:J2"/>
    <mergeCell ref="C3:E3"/>
    <mergeCell ref="F3:G3"/>
    <mergeCell ref="I3:J3"/>
    <mergeCell ref="Y5:AB5"/>
    <mergeCell ref="B5:C5"/>
    <mergeCell ref="D5:E5"/>
    <mergeCell ref="F5:G5"/>
    <mergeCell ref="H5:I5"/>
    <mergeCell ref="P5:R5"/>
  </mergeCells>
  <conditionalFormatting sqref="H19:I30">
    <cfRule type="cellIs" dxfId="34" priority="5" stopIfTrue="1" operator="greaterThan">
      <formula>0</formula>
    </cfRule>
  </conditionalFormatting>
  <conditionalFormatting sqref="K8:K18">
    <cfRule type="cellIs" dxfId="33" priority="3" stopIfTrue="1" operator="greaterThan">
      <formula>0</formula>
    </cfRule>
  </conditionalFormatting>
  <conditionalFormatting sqref="K7">
    <cfRule type="cellIs" dxfId="32" priority="4" stopIfTrue="1" operator="greaterThan">
      <formula>0</formula>
    </cfRule>
  </conditionalFormatting>
  <conditionalFormatting sqref="A9:A18">
    <cfRule type="timePeriod" dxfId="31" priority="2" timePeriod="lastMonth">
      <formula>AND(MONTH(A9)=MONTH(EDATE(TODAY(),0-1)),YEAR(A9)=YEAR(EDATE(TODAY(),0-1)))</formula>
    </cfRule>
  </conditionalFormatting>
  <conditionalFormatting sqref="H31:I42">
    <cfRule type="cellIs" dxfId="30" priority="1" stopIfTrue="1" operator="greaterThan">
      <formula>0</formula>
    </cfRule>
  </conditionalFormatting>
  <dataValidations count="1">
    <dataValidation type="list" allowBlank="1" showInputMessage="1" showErrorMessage="1" sqref="S7:S42">
      <formula1>Oui_Non</formula1>
    </dataValidation>
  </dataValidations>
  <pageMargins left="0.7" right="0.7" top="0.75" bottom="0.75" header="0.51180555555555551" footer="0.51180555555555551"/>
  <pageSetup paperSize="9" firstPageNumber="0" orientation="landscape" r:id="rId1"/>
  <headerFooter alignWithMargins="0"/>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AD66"/>
  <sheetViews>
    <sheetView workbookViewId="0">
      <pane xSplit="1" ySplit="5" topLeftCell="B30" activePane="bottomRight" state="frozen"/>
      <selection pane="topRight" activeCell="B1" sqref="B1"/>
      <selection pane="bottomLeft" activeCell="A6" sqref="A6"/>
      <selection pane="bottomRight" activeCell="F43" sqref="F43"/>
    </sheetView>
  </sheetViews>
  <sheetFormatPr baseColWidth="10" defaultRowHeight="12.75"/>
  <cols>
    <col min="1" max="1" width="12.28515625" customWidth="1"/>
    <col min="3" max="3" width="7.7109375" customWidth="1"/>
    <col min="4" max="4" width="7.42578125" customWidth="1"/>
    <col min="5" max="6" width="9.5703125" customWidth="1"/>
    <col min="7" max="7" width="10.5703125" customWidth="1"/>
    <col min="9" max="9" width="14.28515625" customWidth="1"/>
    <col min="10" max="10" width="14.7109375" customWidth="1"/>
    <col min="11" max="11" width="11" customWidth="1"/>
    <col min="12" max="12" width="23.140625" customWidth="1"/>
    <col min="13" max="13" width="13.42578125" customWidth="1"/>
    <col min="14" max="14" width="24.28515625" customWidth="1"/>
    <col min="15" max="15" width="3.5703125" customWidth="1"/>
    <col min="16" max="16" width="3.85546875" customWidth="1"/>
    <col min="17" max="17" width="5.140625" customWidth="1"/>
    <col min="18" max="20" width="8.140625" customWidth="1"/>
    <col min="24" max="24" width="9.85546875" customWidth="1"/>
    <col min="29" max="29" width="9.5703125" style="509" customWidth="1"/>
    <col min="30" max="30" width="10.5703125" style="509" customWidth="1"/>
  </cols>
  <sheetData>
    <row r="1" spans="1:30">
      <c r="A1" s="1" t="s">
        <v>46</v>
      </c>
    </row>
    <row r="2" spans="1:30" ht="15">
      <c r="B2" s="2" t="s">
        <v>0</v>
      </c>
      <c r="C2" s="781" t="s">
        <v>1</v>
      </c>
      <c r="D2" s="781"/>
      <c r="E2" s="781" t="s">
        <v>2</v>
      </c>
      <c r="F2" s="781"/>
      <c r="G2" s="781"/>
      <c r="H2" s="782" t="s">
        <v>3</v>
      </c>
      <c r="I2" s="782"/>
      <c r="J2" s="3" t="s">
        <v>4</v>
      </c>
      <c r="AC2"/>
      <c r="AD2"/>
    </row>
    <row r="3" spans="1:30">
      <c r="B3" s="2" t="s">
        <v>5</v>
      </c>
      <c r="C3" s="783" t="s">
        <v>96</v>
      </c>
      <c r="D3" s="783"/>
      <c r="E3" s="783"/>
      <c r="F3" s="784" t="s">
        <v>50</v>
      </c>
      <c r="G3" s="784"/>
      <c r="H3" s="785" t="s">
        <v>51</v>
      </c>
      <c r="I3" s="785"/>
      <c r="J3" s="4"/>
      <c r="N3" s="67" t="s">
        <v>52</v>
      </c>
      <c r="O3" s="12">
        <v>2</v>
      </c>
      <c r="AC3"/>
      <c r="AD3"/>
    </row>
    <row r="4" spans="1:30" ht="15">
      <c r="C4" s="5"/>
      <c r="D4" s="5"/>
      <c r="E4" s="5"/>
      <c r="F4" s="5"/>
      <c r="G4" s="5"/>
      <c r="H4" s="6"/>
      <c r="I4" s="5"/>
      <c r="J4" s="7"/>
      <c r="AC4" s="5"/>
      <c r="AD4" s="5"/>
    </row>
    <row r="5" spans="1:30" s="12" customFormat="1" ht="39.75" customHeight="1">
      <c r="A5" s="8"/>
      <c r="B5" s="787" t="s">
        <v>9</v>
      </c>
      <c r="C5" s="787"/>
      <c r="D5" s="788" t="s">
        <v>10</v>
      </c>
      <c r="E5" s="788"/>
      <c r="F5" s="789" t="s">
        <v>11</v>
      </c>
      <c r="G5" s="789"/>
      <c r="H5" s="790" t="s">
        <v>53</v>
      </c>
      <c r="I5" s="791"/>
      <c r="J5" s="72" t="s">
        <v>12</v>
      </c>
      <c r="K5" s="100" t="s">
        <v>13</v>
      </c>
      <c r="L5" s="8" t="s">
        <v>11</v>
      </c>
      <c r="M5" s="100" t="s">
        <v>14</v>
      </c>
      <c r="N5" s="9" t="s">
        <v>54</v>
      </c>
      <c r="O5" s="67" t="s">
        <v>52</v>
      </c>
      <c r="P5" s="672" t="s">
        <v>62</v>
      </c>
      <c r="Q5" s="672"/>
      <c r="R5" s="672"/>
      <c r="S5" s="77" t="s">
        <v>94</v>
      </c>
      <c r="T5" s="77" t="s">
        <v>101</v>
      </c>
      <c r="U5" s="77" t="s">
        <v>64</v>
      </c>
      <c r="X5" s="290" t="s">
        <v>70</v>
      </c>
      <c r="Y5" s="793" t="s">
        <v>629</v>
      </c>
      <c r="Z5" s="793"/>
      <c r="AA5" s="793"/>
      <c r="AB5" s="793"/>
      <c r="AC5" s="792" t="s">
        <v>719</v>
      </c>
      <c r="AD5" s="792"/>
    </row>
    <row r="6" spans="1:30">
      <c r="A6">
        <v>2017</v>
      </c>
      <c r="B6" s="13" t="s">
        <v>9</v>
      </c>
      <c r="C6" s="13" t="s">
        <v>15</v>
      </c>
      <c r="D6" s="13" t="s">
        <v>16</v>
      </c>
      <c r="E6" s="13" t="s">
        <v>17</v>
      </c>
      <c r="F6" s="13" t="s">
        <v>16</v>
      </c>
      <c r="G6" s="13" t="s">
        <v>17</v>
      </c>
      <c r="H6" s="155" t="s">
        <v>16</v>
      </c>
      <c r="I6" s="155" t="s">
        <v>119</v>
      </c>
      <c r="K6" s="98"/>
      <c r="O6" s="296">
        <v>2</v>
      </c>
      <c r="R6" s="296" t="s">
        <v>63</v>
      </c>
      <c r="S6" s="296"/>
      <c r="Y6" s="471" t="s">
        <v>630</v>
      </c>
      <c r="Z6" s="471" t="s">
        <v>631</v>
      </c>
      <c r="AA6" s="471" t="s">
        <v>632</v>
      </c>
      <c r="AB6" s="471"/>
      <c r="AC6" s="13" t="s">
        <v>16</v>
      </c>
      <c r="AD6" s="13" t="s">
        <v>17</v>
      </c>
    </row>
    <row r="7" spans="1:30" ht="12" customHeight="1">
      <c r="A7" s="187" t="s">
        <v>131</v>
      </c>
      <c r="B7" t="s">
        <v>327</v>
      </c>
      <c r="C7" t="s">
        <v>328</v>
      </c>
      <c r="D7" s="15" t="s">
        <v>223</v>
      </c>
      <c r="E7" s="16"/>
      <c r="F7" s="15" t="s">
        <v>340</v>
      </c>
      <c r="G7" s="16">
        <v>42738</v>
      </c>
      <c r="H7" s="15"/>
      <c r="I7" s="15"/>
      <c r="J7" t="s">
        <v>315</v>
      </c>
      <c r="K7" s="98">
        <v>42738</v>
      </c>
      <c r="L7" s="145" t="s">
        <v>371</v>
      </c>
      <c r="M7" s="98"/>
      <c r="P7" s="65">
        <v>31</v>
      </c>
      <c r="Q7" s="65">
        <v>31</v>
      </c>
      <c r="R7" s="75">
        <f>P7/Q7</f>
        <v>1</v>
      </c>
      <c r="S7" s="76" t="s">
        <v>99</v>
      </c>
      <c r="T7" t="str">
        <f>IF(L6&lt;&gt;"",VLOOKUP(L7,Locataires!C5:L8,4,0),"pas de Locataire")</f>
        <v>pas de Locataire</v>
      </c>
      <c r="U7" s="76" t="e">
        <f>IF(L7&lt;&gt;"",VLOOKUP(L7,Locataires!C5:L8,5,0),"?")</f>
        <v>#N/A</v>
      </c>
      <c r="V7" s="142">
        <v>42739</v>
      </c>
      <c r="W7" s="142">
        <v>42739</v>
      </c>
      <c r="X7" s="388">
        <v>2016</v>
      </c>
      <c r="AC7" s="15"/>
      <c r="AD7" s="16"/>
    </row>
    <row r="8" spans="1:30" ht="12" customHeight="1">
      <c r="A8" s="187" t="s">
        <v>147</v>
      </c>
      <c r="B8" t="s">
        <v>306</v>
      </c>
      <c r="C8" t="s">
        <v>317</v>
      </c>
      <c r="D8" s="15" t="s">
        <v>223</v>
      </c>
      <c r="E8" s="16"/>
      <c r="F8" s="15" t="s">
        <v>373</v>
      </c>
      <c r="G8" s="16">
        <v>42737</v>
      </c>
      <c r="H8" s="15"/>
      <c r="I8" s="15"/>
      <c r="J8" t="s">
        <v>314</v>
      </c>
      <c r="K8" s="98">
        <v>42768</v>
      </c>
      <c r="L8" s="145" t="s">
        <v>371</v>
      </c>
      <c r="M8" s="98"/>
      <c r="P8" s="65">
        <v>28</v>
      </c>
      <c r="Q8" s="65">
        <v>28</v>
      </c>
      <c r="R8" s="75">
        <f t="shared" ref="R8:R18" si="0">P8/Q8</f>
        <v>1</v>
      </c>
      <c r="S8" s="76" t="s">
        <v>99</v>
      </c>
      <c r="T8" t="e">
        <f>IF(L8&lt;&gt;"",VLOOKUP(L8,Locataires!C6:L8,4,0),"")</f>
        <v>#N/A</v>
      </c>
      <c r="U8" s="76" t="e">
        <f>IF(L8&lt;&gt;"",VLOOKUP(L8,Locataires!C6:L8,5,0),"?")</f>
        <v>#N/A</v>
      </c>
      <c r="V8" s="198">
        <v>42768.714479166665</v>
      </c>
      <c r="X8" s="388">
        <v>2016</v>
      </c>
      <c r="AC8" s="15"/>
      <c r="AD8" s="16"/>
    </row>
    <row r="9" spans="1:30" ht="12" customHeight="1">
      <c r="A9" s="187" t="s">
        <v>134</v>
      </c>
      <c r="B9" t="s">
        <v>307</v>
      </c>
      <c r="C9" t="s">
        <v>318</v>
      </c>
      <c r="D9" s="15" t="s">
        <v>223</v>
      </c>
      <c r="E9" s="16"/>
      <c r="F9" s="15" t="s">
        <v>374</v>
      </c>
      <c r="G9" s="16">
        <v>42737</v>
      </c>
      <c r="H9" s="15"/>
      <c r="I9" s="15"/>
      <c r="J9" t="s">
        <v>313</v>
      </c>
      <c r="K9" s="98"/>
      <c r="L9" s="302" t="s">
        <v>371</v>
      </c>
      <c r="M9" s="98"/>
      <c r="P9" s="65">
        <v>31</v>
      </c>
      <c r="Q9" s="65">
        <v>31</v>
      </c>
      <c r="R9" s="75">
        <f t="shared" si="0"/>
        <v>1</v>
      </c>
      <c r="S9" s="76" t="s">
        <v>99</v>
      </c>
      <c r="T9" t="e">
        <f>IF(L9&lt;&gt;"",VLOOKUP(L9,Locataires!C7:L8,4,0),"")</f>
        <v>#N/A</v>
      </c>
      <c r="U9" s="76" t="e">
        <f>IF(L9&lt;&gt;"",VLOOKUP(L9,Locataires!C7:L8,5,0),"?")</f>
        <v>#N/A</v>
      </c>
      <c r="V9" s="295" t="s">
        <v>116</v>
      </c>
      <c r="X9" s="388">
        <v>2016</v>
      </c>
      <c r="AC9" s="15"/>
      <c r="AD9" s="16"/>
    </row>
    <row r="10" spans="1:30" ht="12" customHeight="1">
      <c r="A10" s="187" t="s">
        <v>132</v>
      </c>
      <c r="B10" t="s">
        <v>308</v>
      </c>
      <c r="C10" t="s">
        <v>319</v>
      </c>
      <c r="D10" s="15" t="s">
        <v>223</v>
      </c>
      <c r="E10" s="16"/>
      <c r="F10" s="15" t="s">
        <v>375</v>
      </c>
      <c r="G10" s="16">
        <v>42737</v>
      </c>
      <c r="H10" s="15"/>
      <c r="I10" s="15"/>
      <c r="J10" t="s">
        <v>312</v>
      </c>
      <c r="K10" s="98"/>
      <c r="L10" s="317" t="s">
        <v>371</v>
      </c>
      <c r="M10" s="98"/>
      <c r="P10" s="65">
        <v>30</v>
      </c>
      <c r="Q10" s="65">
        <v>30</v>
      </c>
      <c r="R10" s="75">
        <f t="shared" si="0"/>
        <v>1</v>
      </c>
      <c r="S10" s="76" t="s">
        <v>99</v>
      </c>
      <c r="T10" t="e">
        <f>IF(L10&lt;&gt;"",VLOOKUP(L10,Locataires!C8:L8,4,0),"")</f>
        <v>#N/A</v>
      </c>
      <c r="U10" s="76" t="e">
        <f>IF(L10&lt;&gt;"",VLOOKUP(L10,Locataires!C8:L8,5,0),"?")</f>
        <v>#N/A</v>
      </c>
      <c r="V10" s="295" t="s">
        <v>116</v>
      </c>
      <c r="X10" s="388">
        <v>2016</v>
      </c>
      <c r="AC10" s="15"/>
      <c r="AD10" s="16"/>
    </row>
    <row r="11" spans="1:30" ht="12" customHeight="1">
      <c r="A11" s="187" t="s">
        <v>136</v>
      </c>
      <c r="B11" t="s">
        <v>309</v>
      </c>
      <c r="C11" t="s">
        <v>320</v>
      </c>
      <c r="D11" s="15" t="s">
        <v>223</v>
      </c>
      <c r="E11" s="16"/>
      <c r="F11" s="15" t="s">
        <v>376</v>
      </c>
      <c r="G11" s="16">
        <v>42737</v>
      </c>
      <c r="H11" s="15"/>
      <c r="I11" s="15"/>
      <c r="J11" t="s">
        <v>311</v>
      </c>
      <c r="K11" s="98"/>
      <c r="L11" s="317" t="s">
        <v>371</v>
      </c>
      <c r="M11" s="98"/>
      <c r="P11" s="65">
        <v>31</v>
      </c>
      <c r="Q11" s="65">
        <v>31</v>
      </c>
      <c r="R11" s="75">
        <f t="shared" si="0"/>
        <v>1</v>
      </c>
      <c r="S11" s="76" t="s">
        <v>99</v>
      </c>
      <c r="T11" t="e">
        <f>IF(L11&lt;&gt;"",VLOOKUP(L11,Locataires!#REF!,4,0),"")</f>
        <v>#REF!</v>
      </c>
      <c r="U11" s="76" t="e">
        <f>IF(L11&lt;&gt;"",VLOOKUP(L11,Locataires!#REF!,5,0),"?")</f>
        <v>#REF!</v>
      </c>
      <c r="V11" s="295" t="s">
        <v>116</v>
      </c>
      <c r="X11" s="388">
        <v>2016</v>
      </c>
      <c r="AC11" s="15"/>
      <c r="AD11" s="16"/>
    </row>
    <row r="12" spans="1:30" ht="12" customHeight="1">
      <c r="A12" s="187" t="s">
        <v>137</v>
      </c>
      <c r="B12" t="s">
        <v>310</v>
      </c>
      <c r="C12" t="s">
        <v>321</v>
      </c>
      <c r="D12" s="15" t="s">
        <v>223</v>
      </c>
      <c r="E12" s="16"/>
      <c r="F12" s="15" t="s">
        <v>377</v>
      </c>
      <c r="G12" s="16">
        <v>42737</v>
      </c>
      <c r="H12" s="15"/>
      <c r="I12" s="15"/>
      <c r="J12" t="s">
        <v>310</v>
      </c>
      <c r="K12" s="98"/>
      <c r="L12" s="317" t="s">
        <v>371</v>
      </c>
      <c r="M12" s="98"/>
      <c r="P12" s="65">
        <v>30</v>
      </c>
      <c r="Q12" s="65">
        <v>30</v>
      </c>
      <c r="R12" s="75">
        <f t="shared" si="0"/>
        <v>1</v>
      </c>
      <c r="S12" s="76" t="s">
        <v>99</v>
      </c>
      <c r="T12" t="e">
        <f>IF(L12&lt;&gt;"",VLOOKUP(L12,Locataires!#REF!,4,0),"")</f>
        <v>#REF!</v>
      </c>
      <c r="U12" s="76" t="e">
        <f>IF(L12&lt;&gt;"",VLOOKUP(L12,Locataires!#REF!,5,0),"?")</f>
        <v>#REF!</v>
      </c>
      <c r="V12" s="295" t="s">
        <v>116</v>
      </c>
      <c r="X12" s="388">
        <v>2016</v>
      </c>
      <c r="AC12" s="15"/>
      <c r="AD12" s="16"/>
    </row>
    <row r="13" spans="1:30" ht="12" customHeight="1">
      <c r="A13" s="187" t="s">
        <v>138</v>
      </c>
      <c r="B13">
        <v>720</v>
      </c>
      <c r="C13">
        <v>130</v>
      </c>
      <c r="D13" s="15" t="s">
        <v>223</v>
      </c>
      <c r="E13" s="16"/>
      <c r="F13" s="15">
        <v>850</v>
      </c>
      <c r="G13" s="16">
        <v>42737</v>
      </c>
      <c r="H13" s="15"/>
      <c r="I13" s="15"/>
      <c r="J13">
        <v>0</v>
      </c>
      <c r="K13" s="98"/>
      <c r="L13" s="419" t="s">
        <v>371</v>
      </c>
      <c r="M13" s="98"/>
      <c r="P13" s="65">
        <v>31</v>
      </c>
      <c r="Q13" s="65">
        <v>31</v>
      </c>
      <c r="R13" s="75">
        <f t="shared" si="0"/>
        <v>1</v>
      </c>
      <c r="S13" s="76" t="s">
        <v>99</v>
      </c>
      <c r="T13" t="e">
        <f>IF(L13&lt;&gt;"",VLOOKUP(L13,Locataires!#REF!,4,0),"")</f>
        <v>#REF!</v>
      </c>
      <c r="U13" s="76" t="e">
        <f>IF(L13&lt;&gt;"",VLOOKUP(L13,Locataires!#REF!,5,0),"?")</f>
        <v>#REF!</v>
      </c>
      <c r="V13" s="295" t="s">
        <v>116</v>
      </c>
      <c r="X13" s="388">
        <v>2016</v>
      </c>
      <c r="AC13" s="15"/>
      <c r="AD13" s="16"/>
    </row>
    <row r="14" spans="1:30" ht="12" customHeight="1">
      <c r="A14" s="187" t="s">
        <v>139</v>
      </c>
      <c r="B14">
        <v>720</v>
      </c>
      <c r="C14">
        <v>130</v>
      </c>
      <c r="D14" s="15" t="s">
        <v>223</v>
      </c>
      <c r="E14" s="16"/>
      <c r="F14" s="15">
        <v>850</v>
      </c>
      <c r="G14" s="16">
        <v>42737</v>
      </c>
      <c r="H14" s="15"/>
      <c r="I14" s="15"/>
      <c r="J14">
        <v>0</v>
      </c>
      <c r="K14" s="98"/>
      <c r="L14" s="419" t="s">
        <v>371</v>
      </c>
      <c r="M14" s="98"/>
      <c r="P14" s="65">
        <v>31</v>
      </c>
      <c r="Q14" s="65">
        <v>31</v>
      </c>
      <c r="R14" s="75">
        <f t="shared" si="0"/>
        <v>1</v>
      </c>
      <c r="S14" s="76" t="s">
        <v>99</v>
      </c>
      <c r="T14" t="e">
        <f>IF(L14&lt;&gt;"",VLOOKUP(L14,Locataires!#REF!,4,0),"")</f>
        <v>#REF!</v>
      </c>
      <c r="U14" s="76" t="e">
        <f>IF(L14&lt;&gt;"",VLOOKUP(L14,Locataires!#REF!,5,0),"?")</f>
        <v>#REF!</v>
      </c>
      <c r="V14" s="295" t="s">
        <v>116</v>
      </c>
      <c r="X14" s="388">
        <v>2016</v>
      </c>
      <c r="AC14" s="15"/>
      <c r="AD14" s="16"/>
    </row>
    <row r="15" spans="1:30" ht="12" customHeight="1">
      <c r="A15" s="187" t="s">
        <v>140</v>
      </c>
      <c r="B15">
        <v>720</v>
      </c>
      <c r="C15">
        <v>130</v>
      </c>
      <c r="D15" s="15" t="s">
        <v>223</v>
      </c>
      <c r="E15" s="16"/>
      <c r="F15" s="15">
        <v>850</v>
      </c>
      <c r="G15" s="16">
        <v>42737</v>
      </c>
      <c r="H15" s="15"/>
      <c r="I15" s="15"/>
      <c r="J15">
        <v>0</v>
      </c>
      <c r="K15" s="98"/>
      <c r="L15" s="419" t="s">
        <v>371</v>
      </c>
      <c r="M15" s="98"/>
      <c r="P15" s="65">
        <v>30</v>
      </c>
      <c r="Q15" s="65">
        <v>30</v>
      </c>
      <c r="R15" s="75">
        <f t="shared" si="0"/>
        <v>1</v>
      </c>
      <c r="S15" s="76" t="s">
        <v>99</v>
      </c>
      <c r="T15" t="e">
        <f>IF(L15&lt;&gt;"",VLOOKUP(L15,Locataires!#REF!,4,0),"")</f>
        <v>#REF!</v>
      </c>
      <c r="U15" s="76" t="e">
        <f>IF(L15&lt;&gt;"",VLOOKUP(L15,Locataires!#REF!,5,0),"?")</f>
        <v>#REF!</v>
      </c>
      <c r="V15" s="295" t="s">
        <v>116</v>
      </c>
      <c r="X15" s="388">
        <v>2016</v>
      </c>
      <c r="AC15" s="15"/>
      <c r="AD15" s="16"/>
    </row>
    <row r="16" spans="1:30" ht="12" customHeight="1">
      <c r="A16" s="187" t="s">
        <v>141</v>
      </c>
      <c r="B16">
        <v>720</v>
      </c>
      <c r="C16">
        <v>130</v>
      </c>
      <c r="D16" s="15" t="s">
        <v>223</v>
      </c>
      <c r="E16" s="16"/>
      <c r="F16" s="15">
        <v>850</v>
      </c>
      <c r="G16" s="16">
        <v>42738</v>
      </c>
      <c r="H16" s="15"/>
      <c r="I16" s="15"/>
      <c r="J16">
        <v>0</v>
      </c>
      <c r="K16" s="98"/>
      <c r="L16" s="419" t="s">
        <v>371</v>
      </c>
      <c r="M16" s="98"/>
      <c r="P16" s="65">
        <v>31</v>
      </c>
      <c r="Q16" s="65">
        <v>31</v>
      </c>
      <c r="R16" s="75">
        <f t="shared" si="0"/>
        <v>1</v>
      </c>
      <c r="S16" s="76" t="s">
        <v>99</v>
      </c>
      <c r="T16" t="e">
        <f>IF(L16&lt;&gt;"",VLOOKUP(L16,Locataires!#REF!,4,0),"")</f>
        <v>#REF!</v>
      </c>
      <c r="U16" s="76" t="e">
        <f>IF(L16&lt;&gt;"",VLOOKUP(L16,Locataires!#REF!,5,0),"?")</f>
        <v>#REF!</v>
      </c>
      <c r="V16" s="295" t="s">
        <v>116</v>
      </c>
      <c r="X16" s="388">
        <v>2016</v>
      </c>
      <c r="AC16" s="15"/>
      <c r="AD16" s="16"/>
    </row>
    <row r="17" spans="1:30" ht="12" customHeight="1">
      <c r="A17" s="188" t="s">
        <v>135</v>
      </c>
      <c r="B17">
        <v>720</v>
      </c>
      <c r="C17">
        <v>130</v>
      </c>
      <c r="D17" s="126" t="s">
        <v>223</v>
      </c>
      <c r="E17" s="127"/>
      <c r="F17" s="15">
        <v>850</v>
      </c>
      <c r="G17" s="16">
        <v>42737</v>
      </c>
      <c r="H17" s="126"/>
      <c r="I17" s="126"/>
      <c r="J17">
        <v>0</v>
      </c>
      <c r="K17" s="128"/>
      <c r="L17" s="419" t="s">
        <v>371</v>
      </c>
      <c r="M17" s="297"/>
      <c r="N17" s="297"/>
      <c r="O17" s="297"/>
      <c r="P17" s="130">
        <v>30</v>
      </c>
      <c r="Q17" s="130">
        <v>30</v>
      </c>
      <c r="R17" s="131">
        <f t="shared" si="0"/>
        <v>1</v>
      </c>
      <c r="S17" s="76" t="s">
        <v>99</v>
      </c>
      <c r="T17" t="e">
        <f>IF(L17&lt;&gt;"",VLOOKUP(L17,Locataires!#REF!,4,0),"")</f>
        <v>#REF!</v>
      </c>
      <c r="U17" s="76" t="e">
        <f>IF(L17&lt;&gt;"",VLOOKUP(L17,Locataires!#REF!,5,0),"?")</f>
        <v>#REF!</v>
      </c>
      <c r="V17" s="295" t="s">
        <v>116</v>
      </c>
      <c r="X17" s="388">
        <v>2016</v>
      </c>
      <c r="AC17" s="15"/>
      <c r="AD17" s="16"/>
    </row>
    <row r="18" spans="1:30" ht="12" customHeight="1">
      <c r="A18" s="188" t="s">
        <v>142</v>
      </c>
      <c r="B18">
        <v>720</v>
      </c>
      <c r="C18">
        <v>130</v>
      </c>
      <c r="D18" s="126" t="s">
        <v>223</v>
      </c>
      <c r="E18" s="127"/>
      <c r="F18" s="15">
        <v>850</v>
      </c>
      <c r="G18" s="16">
        <v>42737</v>
      </c>
      <c r="H18" s="126"/>
      <c r="I18" s="126"/>
      <c r="J18">
        <v>0</v>
      </c>
      <c r="K18" s="128"/>
      <c r="L18" s="419" t="s">
        <v>371</v>
      </c>
      <c r="M18" s="128"/>
      <c r="N18" s="297"/>
      <c r="O18" s="297"/>
      <c r="P18" s="130">
        <v>31</v>
      </c>
      <c r="Q18" s="130">
        <v>31</v>
      </c>
      <c r="R18" s="131">
        <f t="shared" si="0"/>
        <v>1</v>
      </c>
      <c r="S18" s="76" t="s">
        <v>99</v>
      </c>
      <c r="T18" t="e">
        <f>IF(L18&lt;&gt;"",VLOOKUP(L18,Locataires!#REF!,4,0),"")</f>
        <v>#REF!</v>
      </c>
      <c r="U18" s="76" t="e">
        <f>IF(L18&lt;&gt;"",VLOOKUP(L18,Locataires!#REF!,5,0),"?")</f>
        <v>#REF!</v>
      </c>
      <c r="V18" s="295" t="s">
        <v>116</v>
      </c>
      <c r="X18" s="388">
        <v>2016</v>
      </c>
      <c r="AC18" s="15"/>
      <c r="AD18" s="16"/>
    </row>
    <row r="19" spans="1:30" ht="12" customHeight="1">
      <c r="A19" s="187" t="s">
        <v>131</v>
      </c>
      <c r="B19">
        <v>720</v>
      </c>
      <c r="C19">
        <v>130</v>
      </c>
      <c r="D19" s="15"/>
      <c r="E19" s="16"/>
      <c r="F19" s="126">
        <v>850</v>
      </c>
      <c r="G19" s="16">
        <v>42738</v>
      </c>
      <c r="H19" s="15"/>
      <c r="I19" s="15"/>
      <c r="J19">
        <v>0</v>
      </c>
      <c r="K19" s="98">
        <v>42768</v>
      </c>
      <c r="L19" s="419" t="s">
        <v>507</v>
      </c>
      <c r="M19" s="98"/>
      <c r="P19" s="65">
        <v>31</v>
      </c>
      <c r="Q19" s="65">
        <v>31</v>
      </c>
      <c r="R19" s="75">
        <f>P19/Q19</f>
        <v>1</v>
      </c>
      <c r="S19" s="76" t="s">
        <v>99</v>
      </c>
      <c r="T19" t="e">
        <f>IF(L18&lt;&gt;"",VLOOKUP(L19,Locataires!C11:L13,4,0),"pas de Locataire")</f>
        <v>#N/A</v>
      </c>
      <c r="U19" s="76" t="e">
        <f>IF(L19&lt;&gt;"",VLOOKUP(L19,Locataires!C11:L13,5,0),"?")</f>
        <v>#N/A</v>
      </c>
      <c r="V19" s="142">
        <v>42739</v>
      </c>
      <c r="W19" s="142">
        <v>42739</v>
      </c>
      <c r="X19">
        <v>2017</v>
      </c>
      <c r="Y19" s="147"/>
      <c r="AC19" s="15"/>
      <c r="AD19" s="16"/>
    </row>
    <row r="20" spans="1:30" ht="12" customHeight="1">
      <c r="A20" s="187" t="s">
        <v>147</v>
      </c>
      <c r="B20">
        <v>720</v>
      </c>
      <c r="C20">
        <v>130</v>
      </c>
      <c r="D20" s="15"/>
      <c r="E20" s="16"/>
      <c r="F20" s="126">
        <v>850</v>
      </c>
      <c r="G20" s="16">
        <v>42737</v>
      </c>
      <c r="H20" s="15"/>
      <c r="I20" s="15"/>
      <c r="J20">
        <v>0</v>
      </c>
      <c r="K20" s="98"/>
      <c r="L20" s="419" t="s">
        <v>507</v>
      </c>
      <c r="M20" s="98"/>
      <c r="P20" s="65">
        <v>28</v>
      </c>
      <c r="Q20" s="65">
        <v>28</v>
      </c>
      <c r="R20" s="75">
        <f t="shared" ref="R20:R30" si="1">P20/Q20</f>
        <v>1</v>
      </c>
      <c r="S20" s="76" t="s">
        <v>99</v>
      </c>
      <c r="T20" t="e">
        <f>IF(L20&lt;&gt;"",VLOOKUP(L20,Locataires!C11:L13,4,0),"")</f>
        <v>#N/A</v>
      </c>
      <c r="U20" s="76" t="e">
        <f>IF(L20&lt;&gt;"",VLOOKUP(L20,Locataires!C11:L13,5,0),"?")</f>
        <v>#N/A</v>
      </c>
      <c r="V20" s="198">
        <v>42768.714479166665</v>
      </c>
      <c r="X20">
        <v>2017</v>
      </c>
      <c r="AC20" s="15"/>
      <c r="AD20" s="16"/>
    </row>
    <row r="21" spans="1:30" ht="12" customHeight="1">
      <c r="A21" s="187" t="s">
        <v>134</v>
      </c>
      <c r="B21">
        <v>720</v>
      </c>
      <c r="C21">
        <v>130</v>
      </c>
      <c r="D21" s="15"/>
      <c r="E21" s="16"/>
      <c r="F21" s="126">
        <v>850</v>
      </c>
      <c r="G21" s="16">
        <v>42796</v>
      </c>
      <c r="H21" s="15"/>
      <c r="I21" s="15"/>
      <c r="J21">
        <v>0</v>
      </c>
      <c r="K21" s="98"/>
      <c r="L21" s="419" t="s">
        <v>507</v>
      </c>
      <c r="M21" s="98"/>
      <c r="P21" s="65">
        <v>31</v>
      </c>
      <c r="Q21" s="65">
        <v>31</v>
      </c>
      <c r="R21" s="75">
        <f t="shared" si="1"/>
        <v>1</v>
      </c>
      <c r="S21" s="76" t="s">
        <v>99</v>
      </c>
      <c r="T21" t="e">
        <f>IF(L21&lt;&gt;"",VLOOKUP(L21,Locataires!C12:L13,4,0),"")</f>
        <v>#N/A</v>
      </c>
      <c r="U21" s="76" t="e">
        <f>IF(L21&lt;&gt;"",VLOOKUP(L21,Locataires!C12:L13,5,0),"?")</f>
        <v>#N/A</v>
      </c>
      <c r="V21" s="404" t="s">
        <v>116</v>
      </c>
      <c r="X21">
        <v>2017</v>
      </c>
      <c r="AC21" s="15"/>
      <c r="AD21" s="16"/>
    </row>
    <row r="22" spans="1:30" ht="12" customHeight="1">
      <c r="A22" s="187" t="s">
        <v>132</v>
      </c>
      <c r="B22">
        <v>720</v>
      </c>
      <c r="C22">
        <v>130</v>
      </c>
      <c r="D22" s="15"/>
      <c r="E22" s="16"/>
      <c r="F22" s="126">
        <v>850</v>
      </c>
      <c r="G22" s="16">
        <v>42829</v>
      </c>
      <c r="H22" s="15"/>
      <c r="I22" s="15"/>
      <c r="J22">
        <v>0</v>
      </c>
      <c r="K22" s="98"/>
      <c r="L22" s="419" t="s">
        <v>507</v>
      </c>
      <c r="M22" s="98"/>
      <c r="P22" s="65">
        <v>30</v>
      </c>
      <c r="Q22" s="65">
        <v>30</v>
      </c>
      <c r="R22" s="75">
        <f t="shared" si="1"/>
        <v>1</v>
      </c>
      <c r="S22" s="76" t="s">
        <v>99</v>
      </c>
      <c r="T22" t="e">
        <f>IF(L22&lt;&gt;"",VLOOKUP(L22,Locataires!C13:L13,4,0),"")</f>
        <v>#N/A</v>
      </c>
      <c r="U22" s="76" t="e">
        <f>IF(L22&lt;&gt;"",VLOOKUP(L22,Locataires!C13:L13,5,0),"?")</f>
        <v>#N/A</v>
      </c>
      <c r="V22" s="404" t="s">
        <v>116</v>
      </c>
      <c r="X22">
        <v>2017</v>
      </c>
      <c r="AC22" s="15"/>
      <c r="AD22" s="16"/>
    </row>
    <row r="23" spans="1:30" ht="12" customHeight="1">
      <c r="A23" s="187" t="s">
        <v>136</v>
      </c>
      <c r="B23">
        <v>720</v>
      </c>
      <c r="C23">
        <v>130</v>
      </c>
      <c r="D23" s="15"/>
      <c r="E23" s="16"/>
      <c r="F23" s="126">
        <v>850</v>
      </c>
      <c r="G23" s="16">
        <v>42858</v>
      </c>
      <c r="H23" s="15"/>
      <c r="I23" s="15"/>
      <c r="J23">
        <v>0</v>
      </c>
      <c r="K23" s="98"/>
      <c r="L23" s="419" t="s">
        <v>507</v>
      </c>
      <c r="M23" s="98"/>
      <c r="P23" s="65">
        <v>31</v>
      </c>
      <c r="Q23" s="65">
        <v>31</v>
      </c>
      <c r="R23" s="75">
        <f t="shared" si="1"/>
        <v>1</v>
      </c>
      <c r="S23" s="76" t="s">
        <v>99</v>
      </c>
      <c r="T23" t="e">
        <f>IF(L23&lt;&gt;"",VLOOKUP(L23,Locataires!#REF!,4,0),"")</f>
        <v>#REF!</v>
      </c>
      <c r="U23" s="76" t="e">
        <f>IF(L23&lt;&gt;"",VLOOKUP(L23,Locataires!#REF!,5,0),"?")</f>
        <v>#REF!</v>
      </c>
      <c r="V23" s="404" t="s">
        <v>116</v>
      </c>
      <c r="X23">
        <v>2017</v>
      </c>
      <c r="AC23" s="15"/>
      <c r="AD23" s="16"/>
    </row>
    <row r="24" spans="1:30" ht="12" customHeight="1">
      <c r="A24" s="187" t="s">
        <v>137</v>
      </c>
      <c r="B24">
        <v>720</v>
      </c>
      <c r="C24">
        <v>130</v>
      </c>
      <c r="D24" s="15"/>
      <c r="E24" s="16"/>
      <c r="F24" s="126">
        <v>850</v>
      </c>
      <c r="G24" s="16">
        <v>42888</v>
      </c>
      <c r="H24" s="15"/>
      <c r="I24" s="15"/>
      <c r="J24">
        <v>0</v>
      </c>
      <c r="K24" s="98"/>
      <c r="L24" s="419" t="s">
        <v>507</v>
      </c>
      <c r="M24" s="98"/>
      <c r="N24" t="s">
        <v>735</v>
      </c>
      <c r="P24" s="65">
        <v>30</v>
      </c>
      <c r="Q24" s="65">
        <v>30</v>
      </c>
      <c r="R24" s="75">
        <f t="shared" si="1"/>
        <v>1</v>
      </c>
      <c r="S24" s="76" t="s">
        <v>99</v>
      </c>
      <c r="T24" t="e">
        <f>IF(L24&lt;&gt;"",VLOOKUP(L24,Locataires!#REF!,4,0),"")</f>
        <v>#REF!</v>
      </c>
      <c r="U24" s="76" t="e">
        <f>IF(L24&lt;&gt;"",VLOOKUP(L24,Locataires!#REF!,5,0),"?")</f>
        <v>#REF!</v>
      </c>
      <c r="V24" s="404" t="s">
        <v>116</v>
      </c>
      <c r="X24">
        <v>2017</v>
      </c>
      <c r="AC24" s="15"/>
      <c r="AD24" s="16"/>
    </row>
    <row r="25" spans="1:30" ht="12" customHeight="1">
      <c r="A25" s="187" t="s">
        <v>138</v>
      </c>
      <c r="B25">
        <v>720</v>
      </c>
      <c r="C25">
        <v>130</v>
      </c>
      <c r="D25" s="15"/>
      <c r="E25" s="16"/>
      <c r="F25" s="15">
        <v>475</v>
      </c>
      <c r="G25" s="16">
        <v>42917</v>
      </c>
      <c r="H25" s="15"/>
      <c r="I25" s="15"/>
      <c r="J25">
        <v>-375</v>
      </c>
      <c r="K25" s="98"/>
      <c r="L25" s="405" t="s">
        <v>507</v>
      </c>
      <c r="M25" s="98"/>
      <c r="N25" t="s">
        <v>736</v>
      </c>
      <c r="P25" s="65">
        <v>31</v>
      </c>
      <c r="Q25" s="65">
        <v>31</v>
      </c>
      <c r="R25" s="75">
        <f t="shared" si="1"/>
        <v>1</v>
      </c>
      <c r="S25" s="76" t="s">
        <v>99</v>
      </c>
      <c r="T25" t="e">
        <f>IF(L25&lt;&gt;"",VLOOKUP(L25,Locataires!#REF!,4,0),"")</f>
        <v>#REF!</v>
      </c>
      <c r="U25" s="76" t="e">
        <f>IF(L25&lt;&gt;"",VLOOKUP(L25,Locataires!#REF!,5,0),"?")</f>
        <v>#REF!</v>
      </c>
      <c r="V25" s="404" t="s">
        <v>116</v>
      </c>
      <c r="X25">
        <v>2017</v>
      </c>
      <c r="AC25" s="15"/>
      <c r="AD25" s="16"/>
    </row>
    <row r="26" spans="1:30" ht="12" customHeight="1">
      <c r="A26" s="187" t="s">
        <v>139</v>
      </c>
      <c r="B26">
        <v>720</v>
      </c>
      <c r="C26">
        <v>130</v>
      </c>
      <c r="D26" s="15">
        <v>0</v>
      </c>
      <c r="E26" s="16"/>
      <c r="F26" s="15"/>
      <c r="G26" s="16"/>
      <c r="H26" s="15"/>
      <c r="I26" s="15"/>
      <c r="J26">
        <v>-850</v>
      </c>
      <c r="K26" s="98"/>
      <c r="L26" s="405" t="s">
        <v>507</v>
      </c>
      <c r="M26" s="98"/>
      <c r="N26" t="s">
        <v>736</v>
      </c>
      <c r="P26" s="65">
        <v>31</v>
      </c>
      <c r="Q26" s="65">
        <v>31</v>
      </c>
      <c r="R26" s="75">
        <f t="shared" si="1"/>
        <v>1</v>
      </c>
      <c r="S26" s="76" t="s">
        <v>99</v>
      </c>
      <c r="T26" t="e">
        <f>IF(L26&lt;&gt;"",VLOOKUP(L26,Locataires!#REF!,4,0),"")</f>
        <v>#REF!</v>
      </c>
      <c r="U26" s="76" t="e">
        <f>IF(L26&lt;&gt;"",VLOOKUP(L26,Locataires!#REF!,5,0),"?")</f>
        <v>#REF!</v>
      </c>
      <c r="V26" s="404" t="s">
        <v>116</v>
      </c>
      <c r="X26">
        <v>2017</v>
      </c>
      <c r="AC26" s="15"/>
      <c r="AD26" s="16"/>
    </row>
    <row r="27" spans="1:30" ht="12" customHeight="1">
      <c r="A27" s="187" t="s">
        <v>140</v>
      </c>
      <c r="B27">
        <v>740</v>
      </c>
      <c r="C27" s="509">
        <v>130</v>
      </c>
      <c r="D27" s="15">
        <v>0</v>
      </c>
      <c r="E27" s="16"/>
      <c r="F27" s="15">
        <v>460</v>
      </c>
      <c r="G27" s="16">
        <v>42975</v>
      </c>
      <c r="H27" s="15"/>
      <c r="I27" s="15"/>
      <c r="J27">
        <v>50</v>
      </c>
      <c r="K27" s="98"/>
      <c r="L27" s="454" t="s">
        <v>507</v>
      </c>
      <c r="M27" s="98"/>
      <c r="N27" t="s">
        <v>737</v>
      </c>
      <c r="P27" s="65">
        <v>30</v>
      </c>
      <c r="Q27" s="65">
        <v>30</v>
      </c>
      <c r="R27" s="75">
        <f t="shared" si="1"/>
        <v>1</v>
      </c>
      <c r="S27" s="76" t="s">
        <v>99</v>
      </c>
      <c r="T27" t="e">
        <f>IF(L27&lt;&gt;"",VLOOKUP(L27,Locataires!#REF!,4,0),"")</f>
        <v>#REF!</v>
      </c>
      <c r="U27" s="76" t="e">
        <f>IF(L27&lt;&gt;"",VLOOKUP(L27,Locataires!#REF!,5,0),"?")</f>
        <v>#REF!</v>
      </c>
      <c r="V27" s="404" t="s">
        <v>116</v>
      </c>
      <c r="X27">
        <v>2017</v>
      </c>
      <c r="AC27" s="15">
        <v>460</v>
      </c>
      <c r="AD27" s="16"/>
    </row>
    <row r="28" spans="1:30" ht="12" customHeight="1">
      <c r="A28" s="187" t="s">
        <v>141</v>
      </c>
      <c r="B28">
        <v>740</v>
      </c>
      <c r="C28" s="509">
        <v>130</v>
      </c>
      <c r="D28" s="15">
        <v>0</v>
      </c>
      <c r="E28" s="16"/>
      <c r="F28" s="15">
        <v>435</v>
      </c>
      <c r="G28" s="16">
        <v>42980</v>
      </c>
      <c r="H28" s="15"/>
      <c r="I28" s="15"/>
      <c r="J28">
        <v>0</v>
      </c>
      <c r="K28" s="98">
        <v>43021</v>
      </c>
      <c r="L28" s="454" t="s">
        <v>507</v>
      </c>
      <c r="M28" s="98"/>
      <c r="P28" s="65">
        <v>31</v>
      </c>
      <c r="Q28" s="65">
        <v>31</v>
      </c>
      <c r="R28" s="75">
        <f t="shared" si="1"/>
        <v>1</v>
      </c>
      <c r="S28" s="76" t="s">
        <v>99</v>
      </c>
      <c r="T28" t="e">
        <f>IF(L28&lt;&gt;"",VLOOKUP(L28,Locataires!#REF!,4,0),"")</f>
        <v>#REF!</v>
      </c>
      <c r="U28" s="76" t="e">
        <f>IF(L28&lt;&gt;"",VLOOKUP(L28,Locataires!#REF!,5,0),"?")</f>
        <v>#REF!</v>
      </c>
      <c r="V28" s="404" t="s">
        <v>116</v>
      </c>
      <c r="X28">
        <v>2017</v>
      </c>
      <c r="AC28" s="15">
        <v>435</v>
      </c>
      <c r="AD28" s="16">
        <v>43017</v>
      </c>
    </row>
    <row r="29" spans="1:30" ht="12" customHeight="1">
      <c r="A29" s="188" t="s">
        <v>135</v>
      </c>
      <c r="B29">
        <v>740</v>
      </c>
      <c r="C29" s="509">
        <v>130</v>
      </c>
      <c r="D29" s="126">
        <v>0</v>
      </c>
      <c r="E29" s="127"/>
      <c r="F29" s="126">
        <v>435</v>
      </c>
      <c r="G29" s="16">
        <v>43041</v>
      </c>
      <c r="H29" s="126"/>
      <c r="I29" s="126"/>
      <c r="J29">
        <v>0</v>
      </c>
      <c r="K29" s="128">
        <v>43053</v>
      </c>
      <c r="L29" s="454" t="s">
        <v>507</v>
      </c>
      <c r="M29" s="406"/>
      <c r="N29" s="406"/>
      <c r="O29" s="406"/>
      <c r="P29" s="130">
        <v>30</v>
      </c>
      <c r="Q29" s="130">
        <v>30</v>
      </c>
      <c r="R29" s="131">
        <f t="shared" si="1"/>
        <v>1</v>
      </c>
      <c r="S29" s="76" t="s">
        <v>99</v>
      </c>
      <c r="T29" t="e">
        <f>IF(L29&lt;&gt;"",VLOOKUP(L29,Locataires!#REF!,4,0),"")</f>
        <v>#REF!</v>
      </c>
      <c r="U29" s="76" t="e">
        <f>IF(L29&lt;&gt;"",VLOOKUP(L29,Locataires!#REF!,5,0),"?")</f>
        <v>#REF!</v>
      </c>
      <c r="V29" s="404" t="s">
        <v>116</v>
      </c>
      <c r="X29">
        <v>2017</v>
      </c>
      <c r="AC29" s="126">
        <v>435</v>
      </c>
      <c r="AD29" s="16">
        <v>43042</v>
      </c>
    </row>
    <row r="30" spans="1:30" ht="12" customHeight="1">
      <c r="A30" s="188" t="s">
        <v>142</v>
      </c>
      <c r="B30">
        <v>740</v>
      </c>
      <c r="C30" s="509">
        <v>130</v>
      </c>
      <c r="D30" s="126">
        <v>0</v>
      </c>
      <c r="E30" s="127"/>
      <c r="F30" s="126">
        <v>435</v>
      </c>
      <c r="G30" s="16">
        <v>43070</v>
      </c>
      <c r="H30" s="126"/>
      <c r="I30" s="126"/>
      <c r="J30">
        <v>0</v>
      </c>
      <c r="K30" s="128">
        <v>43074</v>
      </c>
      <c r="L30" s="454" t="s">
        <v>507</v>
      </c>
      <c r="M30" s="128"/>
      <c r="N30" s="406"/>
      <c r="O30" s="406"/>
      <c r="P30" s="130">
        <v>31</v>
      </c>
      <c r="Q30" s="130">
        <v>31</v>
      </c>
      <c r="R30" s="131">
        <f t="shared" si="1"/>
        <v>1</v>
      </c>
      <c r="S30" s="76" t="s">
        <v>99</v>
      </c>
      <c r="T30" t="e">
        <f>IF(L30&lt;&gt;"",VLOOKUP(L30,Locataires!#REF!,4,0),"")</f>
        <v>#REF!</v>
      </c>
      <c r="U30" s="76" t="e">
        <f>IF(L30&lt;&gt;"",VLOOKUP(L30,Locataires!#REF!,5,0),"?")</f>
        <v>#REF!</v>
      </c>
      <c r="V30" s="404" t="s">
        <v>116</v>
      </c>
      <c r="X30">
        <v>2017</v>
      </c>
      <c r="AC30" s="126">
        <v>435</v>
      </c>
      <c r="AD30" s="16">
        <v>43073</v>
      </c>
    </row>
    <row r="31" spans="1:30" s="496" customFormat="1" ht="12" customHeight="1">
      <c r="A31" s="187" t="s">
        <v>131</v>
      </c>
      <c r="B31" s="509">
        <v>740</v>
      </c>
      <c r="C31" s="509">
        <v>130</v>
      </c>
      <c r="D31" s="15"/>
      <c r="E31" s="16"/>
      <c r="F31" s="15">
        <v>435</v>
      </c>
      <c r="G31" s="16">
        <v>43102</v>
      </c>
      <c r="H31" s="15"/>
      <c r="I31" s="15"/>
      <c r="J31" s="496">
        <v>0</v>
      </c>
      <c r="K31" s="98"/>
      <c r="L31" s="497" t="s">
        <v>507</v>
      </c>
      <c r="M31" s="98"/>
      <c r="P31" s="65">
        <v>31</v>
      </c>
      <c r="Q31" s="65">
        <v>31</v>
      </c>
      <c r="R31" s="75">
        <f>P31/Q31</f>
        <v>1</v>
      </c>
      <c r="S31" s="76" t="s">
        <v>99</v>
      </c>
      <c r="T31" s="496" t="e">
        <f>IF(L30&lt;&gt;"",VLOOKUP(L31,Locataires!#REF!,4,0),"pas de Locataire")</f>
        <v>#REF!</v>
      </c>
      <c r="U31" s="76" t="e">
        <f>IF(L31&lt;&gt;"",VLOOKUP(L31,Locataires!#REF!,5,0),"?")</f>
        <v>#REF!</v>
      </c>
      <c r="V31" s="142">
        <v>42739</v>
      </c>
      <c r="W31" s="142">
        <v>42739</v>
      </c>
      <c r="X31" s="388">
        <v>2018</v>
      </c>
      <c r="AC31" s="15">
        <v>435</v>
      </c>
      <c r="AD31" s="16">
        <v>43103</v>
      </c>
    </row>
    <row r="32" spans="1:30" s="496" customFormat="1" ht="12" customHeight="1">
      <c r="A32" s="187" t="s">
        <v>147</v>
      </c>
      <c r="B32" s="509">
        <v>740</v>
      </c>
      <c r="C32" s="509">
        <v>130</v>
      </c>
      <c r="D32" s="15"/>
      <c r="E32" s="16"/>
      <c r="F32" s="15">
        <v>435</v>
      </c>
      <c r="G32" s="16">
        <v>43132</v>
      </c>
      <c r="H32" s="15"/>
      <c r="I32" s="15"/>
      <c r="J32" s="496">
        <v>0</v>
      </c>
      <c r="K32" s="98">
        <v>43134</v>
      </c>
      <c r="L32" s="497" t="s">
        <v>507</v>
      </c>
      <c r="M32" s="98"/>
      <c r="P32" s="65">
        <v>28</v>
      </c>
      <c r="Q32" s="65">
        <v>28</v>
      </c>
      <c r="R32" s="75">
        <f t="shared" ref="R32:R42" si="2">P32/Q32</f>
        <v>1</v>
      </c>
      <c r="S32" s="76" t="s">
        <v>99</v>
      </c>
      <c r="T32" s="496" t="e">
        <f>IF(L32&lt;&gt;"",VLOOKUP(L32,Locataires!#REF!,4,0),"")</f>
        <v>#REF!</v>
      </c>
      <c r="U32" s="76" t="e">
        <f>IF(L32&lt;&gt;"",VLOOKUP(L32,Locataires!#REF!,5,0),"?")</f>
        <v>#REF!</v>
      </c>
      <c r="V32" s="198">
        <v>42768.714479166665</v>
      </c>
      <c r="X32" s="388">
        <v>2018</v>
      </c>
      <c r="AC32" s="15">
        <v>435</v>
      </c>
      <c r="AD32" s="16">
        <v>43133</v>
      </c>
    </row>
    <row r="33" spans="1:30" s="496" customFormat="1" ht="12" customHeight="1">
      <c r="A33" s="187" t="s">
        <v>134</v>
      </c>
      <c r="B33" s="509">
        <v>740</v>
      </c>
      <c r="C33" s="509">
        <v>130</v>
      </c>
      <c r="D33" s="15"/>
      <c r="E33" s="16"/>
      <c r="F33" s="15">
        <v>435</v>
      </c>
      <c r="G33" s="16">
        <v>43161</v>
      </c>
      <c r="H33" s="15"/>
      <c r="I33" s="15"/>
      <c r="J33" s="496">
        <v>0</v>
      </c>
      <c r="K33" s="98">
        <v>43162</v>
      </c>
      <c r="L33" s="497" t="s">
        <v>507</v>
      </c>
      <c r="M33" s="98"/>
      <c r="P33" s="65">
        <v>31</v>
      </c>
      <c r="Q33" s="65">
        <v>31</v>
      </c>
      <c r="R33" s="75">
        <f t="shared" si="2"/>
        <v>1</v>
      </c>
      <c r="S33" s="76" t="s">
        <v>99</v>
      </c>
      <c r="T33" s="496" t="e">
        <f>IF(L33&lt;&gt;"",VLOOKUP(L33,Locataires!#REF!,4,0),"")</f>
        <v>#REF!</v>
      </c>
      <c r="U33" s="76" t="e">
        <f>IF(L33&lt;&gt;"",VLOOKUP(L33,Locataires!#REF!,5,0),"?")</f>
        <v>#REF!</v>
      </c>
      <c r="V33" s="495" t="s">
        <v>116</v>
      </c>
      <c r="X33" s="388">
        <v>2018</v>
      </c>
      <c r="AC33" s="15">
        <v>435</v>
      </c>
      <c r="AD33" s="16">
        <v>43161</v>
      </c>
    </row>
    <row r="34" spans="1:30" s="496" customFormat="1" ht="12" customHeight="1">
      <c r="A34" s="187" t="s">
        <v>132</v>
      </c>
      <c r="B34" s="509">
        <v>740</v>
      </c>
      <c r="C34" s="509">
        <v>130</v>
      </c>
      <c r="D34" s="15"/>
      <c r="E34" s="16"/>
      <c r="F34" s="15">
        <v>435</v>
      </c>
      <c r="G34" s="16">
        <v>43193</v>
      </c>
      <c r="H34" s="15"/>
      <c r="I34" s="15"/>
      <c r="J34" s="496">
        <v>0</v>
      </c>
      <c r="K34" s="98">
        <v>43194</v>
      </c>
      <c r="L34" s="497" t="s">
        <v>507</v>
      </c>
      <c r="M34" s="98"/>
      <c r="P34" s="65">
        <v>30</v>
      </c>
      <c r="Q34" s="65">
        <v>30</v>
      </c>
      <c r="R34" s="75">
        <f t="shared" si="2"/>
        <v>1</v>
      </c>
      <c r="S34" s="76" t="s">
        <v>99</v>
      </c>
      <c r="T34" s="496" t="e">
        <f>IF(L34&lt;&gt;"",VLOOKUP(L34,Locataires!#REF!,4,0),"")</f>
        <v>#REF!</v>
      </c>
      <c r="U34" s="76" t="e">
        <f>IF(L34&lt;&gt;"",VLOOKUP(L34,Locataires!#REF!,5,0),"?")</f>
        <v>#REF!</v>
      </c>
      <c r="V34" s="495" t="s">
        <v>116</v>
      </c>
      <c r="X34" s="388">
        <v>2018</v>
      </c>
      <c r="AC34" s="15">
        <v>435</v>
      </c>
      <c r="AD34" s="16">
        <v>43194</v>
      </c>
    </row>
    <row r="35" spans="1:30" s="496" customFormat="1" ht="12" customHeight="1">
      <c r="A35" s="187" t="s">
        <v>136</v>
      </c>
      <c r="B35" s="509">
        <v>740</v>
      </c>
      <c r="C35" s="509">
        <v>130</v>
      </c>
      <c r="D35" s="15"/>
      <c r="E35" s="16"/>
      <c r="F35" s="15">
        <v>435</v>
      </c>
      <c r="G35" s="16">
        <v>43222</v>
      </c>
      <c r="H35" s="15"/>
      <c r="I35" s="15"/>
      <c r="J35" s="496">
        <v>0</v>
      </c>
      <c r="K35" s="98">
        <v>43223</v>
      </c>
      <c r="L35" s="497" t="s">
        <v>507</v>
      </c>
      <c r="M35" s="98"/>
      <c r="P35" s="65">
        <v>31</v>
      </c>
      <c r="Q35" s="65">
        <v>31</v>
      </c>
      <c r="R35" s="75">
        <f t="shared" si="2"/>
        <v>1</v>
      </c>
      <c r="S35" s="76" t="s">
        <v>99</v>
      </c>
      <c r="T35" s="496" t="e">
        <f>IF(L35&lt;&gt;"",VLOOKUP(L35,Locataires!#REF!,4,0),"")</f>
        <v>#REF!</v>
      </c>
      <c r="U35" s="76" t="e">
        <f>IF(L35&lt;&gt;"",VLOOKUP(L35,Locataires!#REF!,5,0),"?")</f>
        <v>#REF!</v>
      </c>
      <c r="V35" s="495" t="s">
        <v>116</v>
      </c>
      <c r="X35" s="388">
        <v>2018</v>
      </c>
      <c r="AC35" s="15">
        <v>435</v>
      </c>
      <c r="AD35" s="16">
        <v>43223</v>
      </c>
    </row>
    <row r="36" spans="1:30" s="496" customFormat="1" ht="12" customHeight="1">
      <c r="A36" s="187" t="s">
        <v>137</v>
      </c>
      <c r="B36" s="509">
        <v>740</v>
      </c>
      <c r="C36" s="509">
        <v>130</v>
      </c>
      <c r="D36" s="15"/>
      <c r="E36" s="16"/>
      <c r="F36" s="15">
        <v>435</v>
      </c>
      <c r="G36" s="16">
        <v>43252</v>
      </c>
      <c r="H36" s="15"/>
      <c r="I36" s="15"/>
      <c r="J36" s="496">
        <v>0</v>
      </c>
      <c r="K36" s="98">
        <v>43255</v>
      </c>
      <c r="L36" s="497" t="s">
        <v>507</v>
      </c>
      <c r="M36" s="98"/>
      <c r="P36" s="65">
        <v>30</v>
      </c>
      <c r="Q36" s="65">
        <v>30</v>
      </c>
      <c r="R36" s="75">
        <f t="shared" si="2"/>
        <v>1</v>
      </c>
      <c r="S36" s="76" t="s">
        <v>99</v>
      </c>
      <c r="T36" s="496" t="e">
        <f>IF(L36&lt;&gt;"",VLOOKUP(L36,Locataires!#REF!,4,0),"")</f>
        <v>#REF!</v>
      </c>
      <c r="U36" s="76" t="e">
        <f>IF(L36&lt;&gt;"",VLOOKUP(L36,Locataires!#REF!,5,0),"?")</f>
        <v>#REF!</v>
      </c>
      <c r="V36" s="495" t="s">
        <v>116</v>
      </c>
      <c r="X36" s="388">
        <v>2018</v>
      </c>
      <c r="AC36" s="15">
        <v>435</v>
      </c>
      <c r="AD36" s="16">
        <v>43255</v>
      </c>
    </row>
    <row r="37" spans="1:30" s="496" customFormat="1" ht="12" customHeight="1">
      <c r="A37" s="187" t="s">
        <v>138</v>
      </c>
      <c r="B37" s="509">
        <v>740</v>
      </c>
      <c r="C37" s="509">
        <v>130</v>
      </c>
      <c r="D37" s="15"/>
      <c r="E37" s="16"/>
      <c r="F37" s="15">
        <v>435</v>
      </c>
      <c r="G37" s="16">
        <v>43283</v>
      </c>
      <c r="H37" s="15"/>
      <c r="I37" s="15"/>
      <c r="J37" s="496">
        <v>0</v>
      </c>
      <c r="K37" s="98">
        <v>43286</v>
      </c>
      <c r="L37" s="497" t="s">
        <v>507</v>
      </c>
      <c r="M37" s="98"/>
      <c r="P37" s="65">
        <v>31</v>
      </c>
      <c r="Q37" s="65">
        <v>31</v>
      </c>
      <c r="R37" s="75">
        <f t="shared" si="2"/>
        <v>1</v>
      </c>
      <c r="S37" s="76" t="s">
        <v>99</v>
      </c>
      <c r="T37" s="496" t="e">
        <f>IF(L37&lt;&gt;"",VLOOKUP(L37,Locataires!#REF!,4,0),"")</f>
        <v>#REF!</v>
      </c>
      <c r="U37" s="76" t="e">
        <f>IF(L37&lt;&gt;"",VLOOKUP(L37,Locataires!#REF!,5,0),"?")</f>
        <v>#REF!</v>
      </c>
      <c r="V37" s="495" t="s">
        <v>116</v>
      </c>
      <c r="X37" s="388">
        <v>2018</v>
      </c>
      <c r="AC37" s="15">
        <v>435</v>
      </c>
      <c r="AD37" s="16">
        <v>43284</v>
      </c>
    </row>
    <row r="38" spans="1:30" s="496" customFormat="1" ht="12" customHeight="1">
      <c r="A38" s="187" t="s">
        <v>139</v>
      </c>
      <c r="B38" s="509">
        <v>740</v>
      </c>
      <c r="C38" s="509">
        <v>130</v>
      </c>
      <c r="D38" s="15"/>
      <c r="E38" s="16"/>
      <c r="F38" s="15">
        <v>435</v>
      </c>
      <c r="G38" s="16">
        <v>43313</v>
      </c>
      <c r="H38" s="15"/>
      <c r="I38" s="15"/>
      <c r="J38" s="496">
        <v>0</v>
      </c>
      <c r="K38" s="98"/>
      <c r="L38" s="497" t="s">
        <v>507</v>
      </c>
      <c r="M38" s="98"/>
      <c r="P38" s="65">
        <v>31</v>
      </c>
      <c r="Q38" s="65">
        <v>31</v>
      </c>
      <c r="R38" s="75">
        <f t="shared" si="2"/>
        <v>1</v>
      </c>
      <c r="S38" s="76" t="s">
        <v>99</v>
      </c>
      <c r="T38" s="496" t="e">
        <f>IF(L38&lt;&gt;"",VLOOKUP(L38,Locataires!#REF!,4,0),"")</f>
        <v>#REF!</v>
      </c>
      <c r="U38" s="76" t="e">
        <f>IF(L38&lt;&gt;"",VLOOKUP(L38,Locataires!#REF!,5,0),"?")</f>
        <v>#REF!</v>
      </c>
      <c r="V38" s="495" t="s">
        <v>116</v>
      </c>
      <c r="X38" s="388">
        <v>2018</v>
      </c>
      <c r="AC38" s="15">
        <v>435</v>
      </c>
      <c r="AD38" s="16">
        <v>43314</v>
      </c>
    </row>
    <row r="39" spans="1:30" s="496" customFormat="1" ht="12" customHeight="1">
      <c r="A39" s="187" t="s">
        <v>140</v>
      </c>
      <c r="B39" s="509">
        <v>740</v>
      </c>
      <c r="C39" s="509">
        <v>130</v>
      </c>
      <c r="D39" s="15"/>
      <c r="E39" s="16"/>
      <c r="F39" s="15"/>
      <c r="G39" s="16"/>
      <c r="H39" s="15"/>
      <c r="I39" s="15"/>
      <c r="J39" s="496">
        <v>-870</v>
      </c>
      <c r="K39" s="98"/>
      <c r="L39" s="497" t="s">
        <v>507</v>
      </c>
      <c r="M39" s="98"/>
      <c r="P39" s="65">
        <v>30</v>
      </c>
      <c r="Q39" s="65">
        <v>30</v>
      </c>
      <c r="R39" s="75">
        <f t="shared" si="2"/>
        <v>1</v>
      </c>
      <c r="S39" s="76" t="s">
        <v>99</v>
      </c>
      <c r="T39" s="496" t="e">
        <f>IF(L39&lt;&gt;"",VLOOKUP(L39,Locataires!#REF!,4,0),"")</f>
        <v>#REF!</v>
      </c>
      <c r="U39" s="76" t="e">
        <f>IF(L39&lt;&gt;"",VLOOKUP(L39,Locataires!#REF!,5,0),"?")</f>
        <v>#REF!</v>
      </c>
      <c r="V39" s="495" t="s">
        <v>116</v>
      </c>
      <c r="X39" s="388">
        <v>2018</v>
      </c>
      <c r="AC39" s="15"/>
      <c r="AD39" s="16"/>
    </row>
    <row r="40" spans="1:30" s="496" customFormat="1" ht="12" customHeight="1">
      <c r="A40" s="187" t="s">
        <v>141</v>
      </c>
      <c r="B40" s="509">
        <v>740</v>
      </c>
      <c r="C40" s="509">
        <v>130</v>
      </c>
      <c r="D40" s="15"/>
      <c r="E40" s="16"/>
      <c r="F40" s="15"/>
      <c r="G40" s="16"/>
      <c r="H40" s="15"/>
      <c r="I40" s="15"/>
      <c r="J40" s="496">
        <v>-870</v>
      </c>
      <c r="K40" s="98"/>
      <c r="L40" s="497" t="s">
        <v>507</v>
      </c>
      <c r="M40" s="98"/>
      <c r="P40" s="65">
        <v>31</v>
      </c>
      <c r="Q40" s="65">
        <v>31</v>
      </c>
      <c r="R40" s="75">
        <f t="shared" si="2"/>
        <v>1</v>
      </c>
      <c r="S40" s="76" t="s">
        <v>99</v>
      </c>
      <c r="T40" s="496" t="e">
        <f>IF(L40&lt;&gt;"",VLOOKUP(L40,Locataires!#REF!,4,0),"")</f>
        <v>#REF!</v>
      </c>
      <c r="U40" s="76" t="e">
        <f>IF(L40&lt;&gt;"",VLOOKUP(L40,Locataires!#REF!,5,0),"?")</f>
        <v>#REF!</v>
      </c>
      <c r="V40" s="495" t="s">
        <v>116</v>
      </c>
      <c r="X40" s="388">
        <v>2018</v>
      </c>
      <c r="AC40" s="15"/>
      <c r="AD40" s="16"/>
    </row>
    <row r="41" spans="1:30" s="496" customFormat="1" ht="12" customHeight="1">
      <c r="A41" s="188" t="s">
        <v>135</v>
      </c>
      <c r="B41" s="509">
        <v>740</v>
      </c>
      <c r="C41" s="509">
        <v>130</v>
      </c>
      <c r="D41" s="126"/>
      <c r="E41" s="127"/>
      <c r="F41" s="126"/>
      <c r="G41" s="16"/>
      <c r="H41" s="126"/>
      <c r="I41" s="126"/>
      <c r="J41" s="496">
        <v>-870</v>
      </c>
      <c r="K41" s="128"/>
      <c r="L41" s="497" t="s">
        <v>507</v>
      </c>
      <c r="M41" s="498"/>
      <c r="N41" s="498"/>
      <c r="O41" s="498"/>
      <c r="P41" s="130">
        <v>30</v>
      </c>
      <c r="Q41" s="130">
        <v>30</v>
      </c>
      <c r="R41" s="131">
        <f t="shared" si="2"/>
        <v>1</v>
      </c>
      <c r="S41" s="76" t="s">
        <v>99</v>
      </c>
      <c r="T41" s="496" t="e">
        <f>IF(L41&lt;&gt;"",VLOOKUP(L41,Locataires!#REF!,4,0),"")</f>
        <v>#REF!</v>
      </c>
      <c r="U41" s="76" t="e">
        <f>IF(L41&lt;&gt;"",VLOOKUP(L41,Locataires!#REF!,5,0),"?")</f>
        <v>#REF!</v>
      </c>
      <c r="V41" s="495" t="s">
        <v>116</v>
      </c>
      <c r="X41" s="388">
        <v>2018</v>
      </c>
      <c r="AC41" s="126"/>
      <c r="AD41" s="16"/>
    </row>
    <row r="42" spans="1:30" s="496" customFormat="1" ht="12" customHeight="1">
      <c r="A42" s="188" t="s">
        <v>142</v>
      </c>
      <c r="B42" s="509">
        <v>740</v>
      </c>
      <c r="C42" s="509">
        <v>130</v>
      </c>
      <c r="D42" s="126"/>
      <c r="E42" s="127"/>
      <c r="F42" s="126"/>
      <c r="G42" s="16"/>
      <c r="H42" s="126"/>
      <c r="I42" s="126"/>
      <c r="J42" s="496">
        <v>-870</v>
      </c>
      <c r="K42" s="128"/>
      <c r="L42" s="497" t="s">
        <v>507</v>
      </c>
      <c r="M42" s="128"/>
      <c r="N42" s="498"/>
      <c r="O42" s="498"/>
      <c r="P42" s="130">
        <v>31</v>
      </c>
      <c r="Q42" s="130">
        <v>31</v>
      </c>
      <c r="R42" s="131">
        <f t="shared" si="2"/>
        <v>1</v>
      </c>
      <c r="S42" s="76" t="s">
        <v>99</v>
      </c>
      <c r="T42" s="496" t="e">
        <f>IF(L42&lt;&gt;"",VLOOKUP(L42,Locataires!#REF!,4,0),"")</f>
        <v>#REF!</v>
      </c>
      <c r="U42" s="76" t="e">
        <f>IF(L42&lt;&gt;"",VLOOKUP(L42,Locataires!#REF!,5,0),"?")</f>
        <v>#REF!</v>
      </c>
      <c r="V42" s="495" t="s">
        <v>116</v>
      </c>
      <c r="X42" s="388">
        <v>2018</v>
      </c>
      <c r="AC42" s="126"/>
      <c r="AD42" s="16"/>
    </row>
    <row r="43" spans="1:30" s="496" customFormat="1" ht="12" customHeight="1">
      <c r="A43" s="187" t="s">
        <v>131</v>
      </c>
      <c r="D43" s="15"/>
      <c r="E43" s="16"/>
      <c r="F43" s="15"/>
      <c r="G43" s="16"/>
      <c r="H43" s="15"/>
      <c r="I43" s="15"/>
      <c r="K43" s="98"/>
      <c r="L43" s="497"/>
      <c r="M43" s="98"/>
      <c r="P43" s="65">
        <v>31</v>
      </c>
      <c r="Q43" s="65">
        <v>31</v>
      </c>
      <c r="R43" s="75">
        <f>P43/Q43</f>
        <v>1</v>
      </c>
      <c r="S43" s="76" t="s">
        <v>99</v>
      </c>
      <c r="T43" s="496" t="e">
        <f>IF(L42&lt;&gt;"",VLOOKUP(L43,Locataires!#REF!,4,0),"pas de Locataire")</f>
        <v>#REF!</v>
      </c>
      <c r="U43" s="76" t="str">
        <f>IF(L43&lt;&gt;"",VLOOKUP(L43,Locataires!#REF!,5,0),"?")</f>
        <v>?</v>
      </c>
      <c r="V43" s="142">
        <v>42739</v>
      </c>
      <c r="W43" s="142">
        <v>42739</v>
      </c>
      <c r="X43" s="496">
        <v>2019</v>
      </c>
      <c r="AC43" s="15"/>
      <c r="AD43" s="16"/>
    </row>
    <row r="44" spans="1:30" s="496" customFormat="1" ht="12" customHeight="1">
      <c r="A44" s="187" t="s">
        <v>147</v>
      </c>
      <c r="D44" s="15"/>
      <c r="E44" s="16"/>
      <c r="F44" s="15"/>
      <c r="G44" s="16"/>
      <c r="H44" s="15"/>
      <c r="I44" s="15"/>
      <c r="K44" s="98"/>
      <c r="L44" s="497"/>
      <c r="M44" s="98"/>
      <c r="P44" s="65">
        <v>28</v>
      </c>
      <c r="Q44" s="65">
        <v>28</v>
      </c>
      <c r="R44" s="75">
        <f t="shared" ref="R44:R54" si="3">P44/Q44</f>
        <v>1</v>
      </c>
      <c r="S44" s="76" t="s">
        <v>99</v>
      </c>
      <c r="T44" s="496" t="str">
        <f>IF(L44&lt;&gt;"",VLOOKUP(L44,Locataires!#REF!,4,0),"")</f>
        <v/>
      </c>
      <c r="U44" s="76" t="str">
        <f>IF(L44&lt;&gt;"",VLOOKUP(L44,Locataires!#REF!,5,0),"?")</f>
        <v>?</v>
      </c>
      <c r="V44" s="198">
        <v>42768.714479166665</v>
      </c>
      <c r="X44" s="496">
        <v>2019</v>
      </c>
      <c r="AC44" s="15"/>
      <c r="AD44" s="16"/>
    </row>
    <row r="45" spans="1:30" s="496" customFormat="1" ht="12" customHeight="1">
      <c r="A45" s="187" t="s">
        <v>134</v>
      </c>
      <c r="D45" s="15"/>
      <c r="E45" s="16"/>
      <c r="F45" s="15"/>
      <c r="G45" s="16"/>
      <c r="H45" s="15"/>
      <c r="I45" s="15"/>
      <c r="K45" s="98"/>
      <c r="L45" s="497"/>
      <c r="M45" s="98"/>
      <c r="P45" s="65">
        <v>31</v>
      </c>
      <c r="Q45" s="65">
        <v>31</v>
      </c>
      <c r="R45" s="75">
        <f t="shared" si="3"/>
        <v>1</v>
      </c>
      <c r="S45" s="76" t="s">
        <v>99</v>
      </c>
      <c r="T45" s="496" t="str">
        <f>IF(L45&lt;&gt;"",VLOOKUP(L45,Locataires!#REF!,4,0),"")</f>
        <v/>
      </c>
      <c r="U45" s="76" t="str">
        <f>IF(L45&lt;&gt;"",VLOOKUP(L45,Locataires!#REF!,5,0),"?")</f>
        <v>?</v>
      </c>
      <c r="V45" s="495" t="s">
        <v>116</v>
      </c>
      <c r="X45" s="496">
        <v>2019</v>
      </c>
      <c r="AC45" s="15"/>
      <c r="AD45" s="16"/>
    </row>
    <row r="46" spans="1:30" s="496" customFormat="1" ht="12" customHeight="1">
      <c r="A46" s="187" t="s">
        <v>132</v>
      </c>
      <c r="D46" s="15"/>
      <c r="E46" s="16"/>
      <c r="F46" s="15"/>
      <c r="G46" s="16"/>
      <c r="H46" s="15"/>
      <c r="I46" s="15"/>
      <c r="K46" s="98"/>
      <c r="L46" s="497"/>
      <c r="M46" s="98"/>
      <c r="P46" s="65">
        <v>30</v>
      </c>
      <c r="Q46" s="65">
        <v>30</v>
      </c>
      <c r="R46" s="75">
        <f t="shared" si="3"/>
        <v>1</v>
      </c>
      <c r="S46" s="76" t="s">
        <v>99</v>
      </c>
      <c r="T46" s="496" t="str">
        <f>IF(L46&lt;&gt;"",VLOOKUP(L46,Locataires!#REF!,4,0),"")</f>
        <v/>
      </c>
      <c r="U46" s="76" t="str">
        <f>IF(L46&lt;&gt;"",VLOOKUP(L46,Locataires!#REF!,5,0),"?")</f>
        <v>?</v>
      </c>
      <c r="V46" s="495" t="s">
        <v>116</v>
      </c>
      <c r="X46" s="496">
        <v>2019</v>
      </c>
      <c r="AC46" s="15"/>
      <c r="AD46" s="16"/>
    </row>
    <row r="47" spans="1:30" s="496" customFormat="1" ht="12" customHeight="1">
      <c r="A47" s="187" t="s">
        <v>136</v>
      </c>
      <c r="D47" s="15"/>
      <c r="E47" s="16"/>
      <c r="F47" s="15"/>
      <c r="G47" s="16"/>
      <c r="H47" s="15"/>
      <c r="I47" s="15"/>
      <c r="K47" s="98"/>
      <c r="L47" s="497"/>
      <c r="M47" s="98"/>
      <c r="P47" s="65">
        <v>31</v>
      </c>
      <c r="Q47" s="65">
        <v>31</v>
      </c>
      <c r="R47" s="75">
        <f t="shared" si="3"/>
        <v>1</v>
      </c>
      <c r="S47" s="76" t="s">
        <v>99</v>
      </c>
      <c r="T47" s="496" t="str">
        <f>IF(L47&lt;&gt;"",VLOOKUP(L47,Locataires!#REF!,4,0),"")</f>
        <v/>
      </c>
      <c r="U47" s="76" t="str">
        <f>IF(L47&lt;&gt;"",VLOOKUP(L47,Locataires!#REF!,5,0),"?")</f>
        <v>?</v>
      </c>
      <c r="V47" s="495" t="s">
        <v>116</v>
      </c>
      <c r="X47" s="496">
        <v>2019</v>
      </c>
      <c r="AC47" s="15"/>
      <c r="AD47" s="16"/>
    </row>
    <row r="48" spans="1:30" s="496" customFormat="1" ht="12" customHeight="1">
      <c r="A48" s="187" t="s">
        <v>137</v>
      </c>
      <c r="D48" s="15"/>
      <c r="E48" s="16"/>
      <c r="F48" s="15"/>
      <c r="G48" s="16"/>
      <c r="H48" s="15"/>
      <c r="I48" s="15"/>
      <c r="K48" s="98"/>
      <c r="L48" s="497"/>
      <c r="M48" s="98"/>
      <c r="P48" s="65">
        <v>30</v>
      </c>
      <c r="Q48" s="65">
        <v>30</v>
      </c>
      <c r="R48" s="75">
        <f t="shared" si="3"/>
        <v>1</v>
      </c>
      <c r="S48" s="76" t="s">
        <v>99</v>
      </c>
      <c r="T48" s="496" t="str">
        <f>IF(L48&lt;&gt;"",VLOOKUP(L48,Locataires!#REF!,4,0),"")</f>
        <v/>
      </c>
      <c r="U48" s="76" t="str">
        <f>IF(L48&lt;&gt;"",VLOOKUP(L48,Locataires!#REF!,5,0),"?")</f>
        <v>?</v>
      </c>
      <c r="V48" s="495" t="s">
        <v>116</v>
      </c>
      <c r="X48" s="496">
        <v>2019</v>
      </c>
      <c r="AC48" s="15"/>
      <c r="AD48" s="16"/>
    </row>
    <row r="49" spans="1:30" s="496" customFormat="1" ht="12" customHeight="1">
      <c r="A49" s="187" t="s">
        <v>138</v>
      </c>
      <c r="D49" s="15"/>
      <c r="E49" s="16"/>
      <c r="F49" s="15"/>
      <c r="G49" s="16"/>
      <c r="H49" s="15"/>
      <c r="I49" s="15"/>
      <c r="K49" s="98"/>
      <c r="L49" s="497"/>
      <c r="M49" s="98"/>
      <c r="P49" s="65">
        <v>31</v>
      </c>
      <c r="Q49" s="65">
        <v>31</v>
      </c>
      <c r="R49" s="75">
        <f t="shared" si="3"/>
        <v>1</v>
      </c>
      <c r="S49" s="76" t="s">
        <v>99</v>
      </c>
      <c r="T49" s="496" t="str">
        <f>IF(L49&lt;&gt;"",VLOOKUP(L49,Locataires!#REF!,4,0),"")</f>
        <v/>
      </c>
      <c r="U49" s="76" t="str">
        <f>IF(L49&lt;&gt;"",VLOOKUP(L49,Locataires!#REF!,5,0),"?")</f>
        <v>?</v>
      </c>
      <c r="V49" s="495" t="s">
        <v>116</v>
      </c>
      <c r="X49" s="496">
        <v>2019</v>
      </c>
      <c r="AC49" s="15"/>
      <c r="AD49" s="16"/>
    </row>
    <row r="50" spans="1:30" s="496" customFormat="1" ht="12" customHeight="1">
      <c r="A50" s="187" t="s">
        <v>139</v>
      </c>
      <c r="D50" s="15"/>
      <c r="E50" s="16"/>
      <c r="F50" s="15"/>
      <c r="G50" s="16"/>
      <c r="H50" s="15"/>
      <c r="I50" s="15"/>
      <c r="K50" s="98"/>
      <c r="L50" s="497"/>
      <c r="M50" s="98"/>
      <c r="P50" s="65">
        <v>31</v>
      </c>
      <c r="Q50" s="65">
        <v>31</v>
      </c>
      <c r="R50" s="75">
        <f t="shared" si="3"/>
        <v>1</v>
      </c>
      <c r="S50" s="76" t="s">
        <v>99</v>
      </c>
      <c r="T50" s="496" t="str">
        <f>IF(L50&lt;&gt;"",VLOOKUP(L50,Locataires!#REF!,4,0),"")</f>
        <v/>
      </c>
      <c r="U50" s="76" t="str">
        <f>IF(L50&lt;&gt;"",VLOOKUP(L50,Locataires!#REF!,5,0),"?")</f>
        <v>?</v>
      </c>
      <c r="V50" s="495" t="s">
        <v>116</v>
      </c>
      <c r="X50" s="496">
        <v>2019</v>
      </c>
      <c r="AC50" s="15"/>
      <c r="AD50" s="16"/>
    </row>
    <row r="51" spans="1:30" s="496" customFormat="1" ht="12" customHeight="1">
      <c r="A51" s="187" t="s">
        <v>140</v>
      </c>
      <c r="D51" s="15"/>
      <c r="E51" s="16"/>
      <c r="F51" s="15"/>
      <c r="G51" s="16"/>
      <c r="H51" s="15"/>
      <c r="I51" s="15"/>
      <c r="K51" s="98"/>
      <c r="L51" s="497"/>
      <c r="M51" s="98"/>
      <c r="P51" s="65">
        <v>30</v>
      </c>
      <c r="Q51" s="65">
        <v>30</v>
      </c>
      <c r="R51" s="75">
        <f t="shared" si="3"/>
        <v>1</v>
      </c>
      <c r="S51" s="76" t="s">
        <v>99</v>
      </c>
      <c r="T51" s="496" t="str">
        <f>IF(L51&lt;&gt;"",VLOOKUP(L51,Locataires!#REF!,4,0),"")</f>
        <v/>
      </c>
      <c r="U51" s="76" t="str">
        <f>IF(L51&lt;&gt;"",VLOOKUP(L51,Locataires!#REF!,5,0),"?")</f>
        <v>?</v>
      </c>
      <c r="V51" s="495" t="s">
        <v>116</v>
      </c>
      <c r="X51" s="496">
        <v>2019</v>
      </c>
      <c r="AC51" s="15"/>
      <c r="AD51" s="16"/>
    </row>
    <row r="52" spans="1:30" s="496" customFormat="1" ht="12" customHeight="1">
      <c r="A52" s="187" t="s">
        <v>141</v>
      </c>
      <c r="D52" s="15"/>
      <c r="E52" s="16"/>
      <c r="F52" s="15"/>
      <c r="G52" s="16"/>
      <c r="H52" s="15"/>
      <c r="I52" s="15"/>
      <c r="K52" s="98"/>
      <c r="L52" s="497"/>
      <c r="M52" s="98"/>
      <c r="P52" s="65">
        <v>31</v>
      </c>
      <c r="Q52" s="65">
        <v>31</v>
      </c>
      <c r="R52" s="75">
        <f t="shared" si="3"/>
        <v>1</v>
      </c>
      <c r="S52" s="76" t="s">
        <v>99</v>
      </c>
      <c r="T52" s="496" t="str">
        <f>IF(L52&lt;&gt;"",VLOOKUP(L52,Locataires!#REF!,4,0),"")</f>
        <v/>
      </c>
      <c r="U52" s="76" t="str">
        <f>IF(L52&lt;&gt;"",VLOOKUP(L52,Locataires!#REF!,5,0),"?")</f>
        <v>?</v>
      </c>
      <c r="V52" s="495" t="s">
        <v>116</v>
      </c>
      <c r="X52" s="496">
        <v>2019</v>
      </c>
      <c r="AC52" s="15"/>
      <c r="AD52" s="16"/>
    </row>
    <row r="53" spans="1:30" s="496" customFormat="1" ht="12" customHeight="1">
      <c r="A53" s="188" t="s">
        <v>135</v>
      </c>
      <c r="D53" s="126"/>
      <c r="E53" s="127"/>
      <c r="F53" s="126"/>
      <c r="G53" s="16"/>
      <c r="H53" s="126"/>
      <c r="I53" s="126"/>
      <c r="K53" s="128"/>
      <c r="L53" s="497"/>
      <c r="M53" s="498"/>
      <c r="N53" s="498"/>
      <c r="O53" s="498"/>
      <c r="P53" s="130">
        <v>30</v>
      </c>
      <c r="Q53" s="130">
        <v>30</v>
      </c>
      <c r="R53" s="131">
        <f t="shared" si="3"/>
        <v>1</v>
      </c>
      <c r="S53" s="76" t="s">
        <v>99</v>
      </c>
      <c r="T53" s="496" t="str">
        <f>IF(L53&lt;&gt;"",VLOOKUP(L53,Locataires!#REF!,4,0),"")</f>
        <v/>
      </c>
      <c r="U53" s="76" t="str">
        <f>IF(L53&lt;&gt;"",VLOOKUP(L53,Locataires!#REF!,5,0),"?")</f>
        <v>?</v>
      </c>
      <c r="V53" s="495" t="s">
        <v>116</v>
      </c>
      <c r="X53" s="496">
        <v>2019</v>
      </c>
      <c r="AC53" s="126"/>
      <c r="AD53" s="16"/>
    </row>
    <row r="54" spans="1:30" s="496" customFormat="1" ht="12" customHeight="1">
      <c r="A54" s="188" t="s">
        <v>142</v>
      </c>
      <c r="D54" s="126"/>
      <c r="E54" s="127"/>
      <c r="F54" s="126"/>
      <c r="G54" s="16"/>
      <c r="H54" s="126"/>
      <c r="I54" s="126"/>
      <c r="K54" s="128"/>
      <c r="L54" s="497"/>
      <c r="M54" s="128"/>
      <c r="N54" s="498"/>
      <c r="O54" s="498"/>
      <c r="P54" s="130">
        <v>31</v>
      </c>
      <c r="Q54" s="130">
        <v>31</v>
      </c>
      <c r="R54" s="131">
        <f t="shared" si="3"/>
        <v>1</v>
      </c>
      <c r="S54" s="76" t="s">
        <v>99</v>
      </c>
      <c r="T54" s="496" t="str">
        <f>IF(L54&lt;&gt;"",VLOOKUP(L54,Locataires!#REF!,4,0),"")</f>
        <v/>
      </c>
      <c r="U54" s="76" t="str">
        <f>IF(L54&lt;&gt;"",VLOOKUP(L54,Locataires!#REF!,5,0),"?")</f>
        <v>?</v>
      </c>
      <c r="V54" s="495" t="s">
        <v>116</v>
      </c>
      <c r="X54" s="496">
        <v>2019</v>
      </c>
      <c r="AC54" s="126"/>
      <c r="AD54" s="16"/>
    </row>
    <row r="55" spans="1:30" s="496" customFormat="1" ht="12" customHeight="1">
      <c r="A55" s="187" t="s">
        <v>131</v>
      </c>
      <c r="D55" s="15"/>
      <c r="E55" s="16"/>
      <c r="F55" s="15"/>
      <c r="G55" s="16"/>
      <c r="H55" s="15"/>
      <c r="I55" s="15"/>
      <c r="K55" s="98"/>
      <c r="L55" s="497"/>
      <c r="M55" s="98"/>
      <c r="P55" s="65">
        <v>31</v>
      </c>
      <c r="Q55" s="65">
        <v>31</v>
      </c>
      <c r="R55" s="75">
        <f>P55/Q55</f>
        <v>1</v>
      </c>
      <c r="S55" s="76" t="s">
        <v>99</v>
      </c>
      <c r="T55" s="496" t="str">
        <f>IF(L54&lt;&gt;"",VLOOKUP(L55,Locataires!C28:L30,4,0),"pas de Locataire")</f>
        <v>pas de Locataire</v>
      </c>
      <c r="U55" s="76" t="str">
        <f>IF(L55&lt;&gt;"",VLOOKUP(L55,Locataires!C28:L30,5,0),"?")</f>
        <v>?</v>
      </c>
      <c r="V55" s="142">
        <v>42739</v>
      </c>
      <c r="W55" s="142">
        <v>42739</v>
      </c>
      <c r="X55" s="388">
        <v>2020</v>
      </c>
      <c r="AC55" s="15"/>
      <c r="AD55" s="16"/>
    </row>
    <row r="56" spans="1:30" s="496" customFormat="1" ht="12" customHeight="1">
      <c r="A56" s="187" t="s">
        <v>147</v>
      </c>
      <c r="D56" s="15"/>
      <c r="E56" s="16"/>
      <c r="F56" s="15"/>
      <c r="G56" s="16"/>
      <c r="H56" s="15"/>
      <c r="I56" s="15"/>
      <c r="K56" s="98"/>
      <c r="L56" s="497"/>
      <c r="M56" s="98"/>
      <c r="P56" s="65">
        <v>28</v>
      </c>
      <c r="Q56" s="65">
        <v>28</v>
      </c>
      <c r="R56" s="75">
        <f t="shared" ref="R56:R66" si="4">P56/Q56</f>
        <v>1</v>
      </c>
      <c r="S56" s="76" t="s">
        <v>99</v>
      </c>
      <c r="T56" s="496" t="str">
        <f>IF(L56&lt;&gt;"",VLOOKUP(L56,Locataires!C28:L30,4,0),"")</f>
        <v/>
      </c>
      <c r="U56" s="76" t="str">
        <f>IF(L56&lt;&gt;"",VLOOKUP(L56,Locataires!C28:L30,5,0),"?")</f>
        <v>?</v>
      </c>
      <c r="V56" s="198">
        <v>42768.714479166665</v>
      </c>
      <c r="X56" s="388">
        <v>2020</v>
      </c>
      <c r="AC56" s="15"/>
      <c r="AD56" s="16"/>
    </row>
    <row r="57" spans="1:30" s="496" customFormat="1" ht="12" customHeight="1">
      <c r="A57" s="187" t="s">
        <v>134</v>
      </c>
      <c r="D57" s="15"/>
      <c r="E57" s="16"/>
      <c r="F57" s="15"/>
      <c r="G57" s="16"/>
      <c r="H57" s="15"/>
      <c r="I57" s="15"/>
      <c r="K57" s="98"/>
      <c r="L57" s="497"/>
      <c r="M57" s="98"/>
      <c r="P57" s="65">
        <v>31</v>
      </c>
      <c r="Q57" s="65">
        <v>31</v>
      </c>
      <c r="R57" s="75">
        <f t="shared" si="4"/>
        <v>1</v>
      </c>
      <c r="S57" s="76" t="s">
        <v>99</v>
      </c>
      <c r="T57" s="496" t="str">
        <f>IF(L57&lt;&gt;"",VLOOKUP(L57,Locataires!C29:L30,4,0),"")</f>
        <v/>
      </c>
      <c r="U57" s="76" t="str">
        <f>IF(L57&lt;&gt;"",VLOOKUP(L57,Locataires!C29:L30,5,0),"?")</f>
        <v>?</v>
      </c>
      <c r="V57" s="495" t="s">
        <v>116</v>
      </c>
      <c r="X57" s="388">
        <v>2020</v>
      </c>
      <c r="AC57" s="15"/>
      <c r="AD57" s="16"/>
    </row>
    <row r="58" spans="1:30" s="496" customFormat="1" ht="12" customHeight="1">
      <c r="A58" s="187" t="s">
        <v>132</v>
      </c>
      <c r="D58" s="15"/>
      <c r="E58" s="16"/>
      <c r="F58" s="15"/>
      <c r="G58" s="16"/>
      <c r="H58" s="15"/>
      <c r="I58" s="15"/>
      <c r="K58" s="98"/>
      <c r="L58" s="497"/>
      <c r="M58" s="98"/>
      <c r="P58" s="65">
        <v>30</v>
      </c>
      <c r="Q58" s="65">
        <v>30</v>
      </c>
      <c r="R58" s="75">
        <f t="shared" si="4"/>
        <v>1</v>
      </c>
      <c r="S58" s="76" t="s">
        <v>99</v>
      </c>
      <c r="T58" s="496" t="str">
        <f>IF(L58&lt;&gt;"",VLOOKUP(L58,Locataires!C30:L30,4,0),"")</f>
        <v/>
      </c>
      <c r="U58" s="76" t="str">
        <f>IF(L58&lt;&gt;"",VLOOKUP(L58,Locataires!C30:L30,5,0),"?")</f>
        <v>?</v>
      </c>
      <c r="V58" s="495" t="s">
        <v>116</v>
      </c>
      <c r="X58" s="388">
        <v>2020</v>
      </c>
      <c r="AC58" s="15"/>
      <c r="AD58" s="16"/>
    </row>
    <row r="59" spans="1:30" s="496" customFormat="1" ht="12" customHeight="1">
      <c r="A59" s="187" t="s">
        <v>136</v>
      </c>
      <c r="D59" s="15"/>
      <c r="E59" s="16"/>
      <c r="F59" s="15"/>
      <c r="G59" s="16"/>
      <c r="H59" s="15"/>
      <c r="I59" s="15"/>
      <c r="K59" s="98"/>
      <c r="L59" s="497"/>
      <c r="M59" s="98"/>
      <c r="P59" s="65">
        <v>31</v>
      </c>
      <c r="Q59" s="65">
        <v>31</v>
      </c>
      <c r="R59" s="75">
        <f t="shared" si="4"/>
        <v>1</v>
      </c>
      <c r="S59" s="76" t="s">
        <v>99</v>
      </c>
      <c r="T59" s="496" t="str">
        <f>IF(L59&lt;&gt;"",VLOOKUP(L59,Locataires!#REF!,4,0),"")</f>
        <v/>
      </c>
      <c r="U59" s="76" t="str">
        <f>IF(L59&lt;&gt;"",VLOOKUP(L59,Locataires!#REF!,5,0),"?")</f>
        <v>?</v>
      </c>
      <c r="V59" s="495" t="s">
        <v>116</v>
      </c>
      <c r="X59" s="388">
        <v>2020</v>
      </c>
      <c r="AC59" s="15"/>
      <c r="AD59" s="16"/>
    </row>
    <row r="60" spans="1:30" s="496" customFormat="1" ht="12" customHeight="1">
      <c r="A60" s="187" t="s">
        <v>137</v>
      </c>
      <c r="D60" s="15"/>
      <c r="E60" s="16"/>
      <c r="F60" s="15"/>
      <c r="G60" s="16"/>
      <c r="H60" s="15"/>
      <c r="I60" s="15"/>
      <c r="K60" s="98"/>
      <c r="L60" s="497"/>
      <c r="M60" s="98"/>
      <c r="P60" s="65">
        <v>30</v>
      </c>
      <c r="Q60" s="65">
        <v>30</v>
      </c>
      <c r="R60" s="75">
        <f t="shared" si="4"/>
        <v>1</v>
      </c>
      <c r="S60" s="76" t="s">
        <v>99</v>
      </c>
      <c r="T60" s="496" t="str">
        <f>IF(L60&lt;&gt;"",VLOOKUP(L60,Locataires!#REF!,4,0),"")</f>
        <v/>
      </c>
      <c r="U60" s="76" t="str">
        <f>IF(L60&lt;&gt;"",VLOOKUP(L60,Locataires!#REF!,5,0),"?")</f>
        <v>?</v>
      </c>
      <c r="V60" s="495" t="s">
        <v>116</v>
      </c>
      <c r="X60" s="388">
        <v>2020</v>
      </c>
      <c r="AC60" s="15"/>
      <c r="AD60" s="16"/>
    </row>
    <row r="61" spans="1:30" s="496" customFormat="1" ht="12" customHeight="1">
      <c r="A61" s="187" t="s">
        <v>138</v>
      </c>
      <c r="D61" s="15"/>
      <c r="E61" s="16"/>
      <c r="F61" s="15"/>
      <c r="G61" s="16"/>
      <c r="H61" s="15"/>
      <c r="I61" s="15"/>
      <c r="K61" s="98"/>
      <c r="L61" s="497"/>
      <c r="M61" s="98"/>
      <c r="P61" s="65">
        <v>31</v>
      </c>
      <c r="Q61" s="65">
        <v>31</v>
      </c>
      <c r="R61" s="75">
        <f t="shared" si="4"/>
        <v>1</v>
      </c>
      <c r="S61" s="76" t="s">
        <v>99</v>
      </c>
      <c r="T61" s="496" t="str">
        <f>IF(L61&lt;&gt;"",VLOOKUP(L61,Locataires!#REF!,4,0),"")</f>
        <v/>
      </c>
      <c r="U61" s="76" t="str">
        <f>IF(L61&lt;&gt;"",VLOOKUP(L61,Locataires!#REF!,5,0),"?")</f>
        <v>?</v>
      </c>
      <c r="V61" s="495" t="s">
        <v>116</v>
      </c>
      <c r="X61" s="388">
        <v>2020</v>
      </c>
      <c r="AC61" s="15"/>
      <c r="AD61" s="16"/>
    </row>
    <row r="62" spans="1:30" s="496" customFormat="1" ht="12" customHeight="1">
      <c r="A62" s="187" t="s">
        <v>139</v>
      </c>
      <c r="D62" s="15"/>
      <c r="E62" s="16"/>
      <c r="F62" s="15"/>
      <c r="G62" s="16"/>
      <c r="H62" s="15"/>
      <c r="I62" s="15"/>
      <c r="K62" s="98"/>
      <c r="L62" s="497"/>
      <c r="M62" s="98"/>
      <c r="P62" s="65">
        <v>31</v>
      </c>
      <c r="Q62" s="65">
        <v>31</v>
      </c>
      <c r="R62" s="75">
        <f t="shared" si="4"/>
        <v>1</v>
      </c>
      <c r="S62" s="76" t="s">
        <v>99</v>
      </c>
      <c r="T62" s="496" t="str">
        <f>IF(L62&lt;&gt;"",VLOOKUP(L62,Locataires!#REF!,4,0),"")</f>
        <v/>
      </c>
      <c r="U62" s="76" t="str">
        <f>IF(L62&lt;&gt;"",VLOOKUP(L62,Locataires!#REF!,5,0),"?")</f>
        <v>?</v>
      </c>
      <c r="V62" s="495" t="s">
        <v>116</v>
      </c>
      <c r="X62" s="388">
        <v>2020</v>
      </c>
      <c r="AC62" s="15"/>
      <c r="AD62" s="16"/>
    </row>
    <row r="63" spans="1:30" s="496" customFormat="1" ht="12" customHeight="1">
      <c r="A63" s="187" t="s">
        <v>140</v>
      </c>
      <c r="D63" s="15"/>
      <c r="E63" s="16"/>
      <c r="F63" s="15"/>
      <c r="G63" s="16"/>
      <c r="H63" s="15"/>
      <c r="I63" s="15"/>
      <c r="K63" s="98"/>
      <c r="L63" s="497"/>
      <c r="M63" s="98"/>
      <c r="P63" s="65">
        <v>30</v>
      </c>
      <c r="Q63" s="65">
        <v>30</v>
      </c>
      <c r="R63" s="75">
        <f t="shared" si="4"/>
        <v>1</v>
      </c>
      <c r="S63" s="76" t="s">
        <v>99</v>
      </c>
      <c r="T63" s="496" t="str">
        <f>IF(L63&lt;&gt;"",VLOOKUP(L63,Locataires!#REF!,4,0),"")</f>
        <v/>
      </c>
      <c r="U63" s="76" t="str">
        <f>IF(L63&lt;&gt;"",VLOOKUP(L63,Locataires!#REF!,5,0),"?")</f>
        <v>?</v>
      </c>
      <c r="V63" s="495" t="s">
        <v>116</v>
      </c>
      <c r="X63" s="388">
        <v>2020</v>
      </c>
      <c r="AC63" s="15"/>
      <c r="AD63" s="16"/>
    </row>
    <row r="64" spans="1:30" s="496" customFormat="1" ht="12" customHeight="1">
      <c r="A64" s="187" t="s">
        <v>141</v>
      </c>
      <c r="D64" s="15"/>
      <c r="E64" s="16"/>
      <c r="F64" s="15"/>
      <c r="G64" s="16"/>
      <c r="H64" s="15"/>
      <c r="I64" s="15"/>
      <c r="K64" s="98"/>
      <c r="L64" s="497"/>
      <c r="M64" s="98"/>
      <c r="P64" s="65">
        <v>31</v>
      </c>
      <c r="Q64" s="65">
        <v>31</v>
      </c>
      <c r="R64" s="75">
        <f t="shared" si="4"/>
        <v>1</v>
      </c>
      <c r="S64" s="76" t="s">
        <v>99</v>
      </c>
      <c r="T64" s="496" t="str">
        <f>IF(L64&lt;&gt;"",VLOOKUP(L64,Locataires!#REF!,4,0),"")</f>
        <v/>
      </c>
      <c r="U64" s="76" t="str">
        <f>IF(L64&lt;&gt;"",VLOOKUP(L64,Locataires!#REF!,5,0),"?")</f>
        <v>?</v>
      </c>
      <c r="V64" s="495" t="s">
        <v>116</v>
      </c>
      <c r="X64" s="388">
        <v>2020</v>
      </c>
      <c r="AC64" s="15"/>
      <c r="AD64" s="16"/>
    </row>
    <row r="65" spans="1:30" s="496" customFormat="1" ht="12" customHeight="1">
      <c r="A65" s="188" t="s">
        <v>135</v>
      </c>
      <c r="D65" s="126"/>
      <c r="E65" s="127"/>
      <c r="F65" s="126"/>
      <c r="G65" s="16"/>
      <c r="H65" s="126"/>
      <c r="I65" s="126"/>
      <c r="K65" s="128"/>
      <c r="L65" s="497"/>
      <c r="M65" s="498"/>
      <c r="N65" s="498"/>
      <c r="O65" s="498"/>
      <c r="P65" s="130">
        <v>30</v>
      </c>
      <c r="Q65" s="130">
        <v>30</v>
      </c>
      <c r="R65" s="131">
        <f t="shared" si="4"/>
        <v>1</v>
      </c>
      <c r="S65" s="76" t="s">
        <v>99</v>
      </c>
      <c r="T65" s="496" t="str">
        <f>IF(L65&lt;&gt;"",VLOOKUP(L65,Locataires!#REF!,4,0),"")</f>
        <v/>
      </c>
      <c r="U65" s="76" t="str">
        <f>IF(L65&lt;&gt;"",VLOOKUP(L65,Locataires!#REF!,5,0),"?")</f>
        <v>?</v>
      </c>
      <c r="V65" s="495" t="s">
        <v>116</v>
      </c>
      <c r="X65" s="388">
        <v>2020</v>
      </c>
      <c r="AC65" s="126"/>
      <c r="AD65" s="16"/>
    </row>
    <row r="66" spans="1:30" s="496" customFormat="1" ht="12" customHeight="1">
      <c r="A66" s="188" t="s">
        <v>142</v>
      </c>
      <c r="D66" s="126"/>
      <c r="E66" s="127"/>
      <c r="F66" s="126"/>
      <c r="G66" s="16"/>
      <c r="H66" s="126"/>
      <c r="I66" s="126"/>
      <c r="K66" s="128"/>
      <c r="L66" s="497"/>
      <c r="M66" s="128"/>
      <c r="N66" s="498"/>
      <c r="O66" s="498"/>
      <c r="P66" s="130">
        <v>31</v>
      </c>
      <c r="Q66" s="130">
        <v>31</v>
      </c>
      <c r="R66" s="131">
        <f t="shared" si="4"/>
        <v>1</v>
      </c>
      <c r="S66" s="76" t="s">
        <v>99</v>
      </c>
      <c r="T66" s="496" t="str">
        <f>IF(L66&lt;&gt;"",VLOOKUP(L66,Locataires!#REF!,4,0),"")</f>
        <v/>
      </c>
      <c r="U66" s="76" t="str">
        <f>IF(L66&lt;&gt;"",VLOOKUP(L66,Locataires!#REF!,5,0),"?")</f>
        <v>?</v>
      </c>
      <c r="V66" s="495" t="s">
        <v>116</v>
      </c>
      <c r="X66" s="388">
        <v>2020</v>
      </c>
      <c r="AC66" s="126"/>
      <c r="AD66" s="16"/>
    </row>
  </sheetData>
  <sheetProtection selectLockedCells="1" selectUnlockedCells="1"/>
  <mergeCells count="13">
    <mergeCell ref="AC5:AD5"/>
    <mergeCell ref="C2:D2"/>
    <mergeCell ref="E2:G2"/>
    <mergeCell ref="H2:I2"/>
    <mergeCell ref="C3:E3"/>
    <mergeCell ref="F3:G3"/>
    <mergeCell ref="H3:I3"/>
    <mergeCell ref="Y5:AB5"/>
    <mergeCell ref="B5:C5"/>
    <mergeCell ref="D5:E5"/>
    <mergeCell ref="F5:G5"/>
    <mergeCell ref="P5:R5"/>
    <mergeCell ref="H5:I5"/>
  </mergeCells>
  <conditionalFormatting sqref="H7:I18">
    <cfRule type="cellIs" dxfId="29" priority="5" stopIfTrue="1" operator="greaterThan">
      <formula>0</formula>
    </cfRule>
  </conditionalFormatting>
  <conditionalFormatting sqref="H19:I30">
    <cfRule type="cellIs" dxfId="28" priority="4" stopIfTrue="1" operator="greaterThan">
      <formula>0</formula>
    </cfRule>
  </conditionalFormatting>
  <conditionalFormatting sqref="H31:I42">
    <cfRule type="cellIs" dxfId="27" priority="3" stopIfTrue="1" operator="greaterThan">
      <formula>0</formula>
    </cfRule>
  </conditionalFormatting>
  <conditionalFormatting sqref="H43:I54">
    <cfRule type="cellIs" dxfId="26" priority="2" stopIfTrue="1" operator="greaterThan">
      <formula>0</formula>
    </cfRule>
  </conditionalFormatting>
  <conditionalFormatting sqref="H55:I66">
    <cfRule type="cellIs" dxfId="25" priority="1" stopIfTrue="1" operator="greaterThan">
      <formula>0</formula>
    </cfRule>
  </conditionalFormatting>
  <dataValidations count="1">
    <dataValidation type="list" allowBlank="1" showInputMessage="1" showErrorMessage="1" sqref="S7:S66">
      <formula1>Oui_Non</formula1>
    </dataValidation>
  </dataValidations>
  <pageMargins left="0.7" right="0.7" top="0.75" bottom="0.75" header="0.51180555555555551" footer="0.51180555555555551"/>
  <pageSetup paperSize="9" firstPageNumber="0" orientation="portrait" horizontalDpi="300" verticalDpi="300" r:id="rId1"/>
  <headerFooter alignWithMargins="0"/>
</worksheet>
</file>

<file path=xl/worksheets/sheet2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AB42"/>
  <sheetViews>
    <sheetView workbookViewId="0">
      <pane xSplit="1" ySplit="6" topLeftCell="B16" activePane="bottomRight" state="frozen"/>
      <selection pane="topRight" activeCell="B1" sqref="B1"/>
      <selection pane="bottomLeft" activeCell="A7" sqref="A7"/>
      <selection pane="bottomRight" activeCell="A38" sqref="A38"/>
    </sheetView>
  </sheetViews>
  <sheetFormatPr baseColWidth="10" defaultRowHeight="12.75"/>
  <cols>
    <col min="1" max="1" width="12.28515625" customWidth="1"/>
    <col min="4" max="4" width="10.5703125" customWidth="1"/>
    <col min="5" max="6" width="9.5703125" customWidth="1"/>
    <col min="7" max="8" width="10.5703125" customWidth="1"/>
    <col min="10" max="10" width="14.28515625" customWidth="1"/>
    <col min="11" max="11" width="25.42578125" customWidth="1"/>
    <col min="13" max="13" width="23.28515625" customWidth="1"/>
    <col min="14" max="14" width="8.5703125" customWidth="1"/>
    <col min="15" max="15" width="3.5703125" customWidth="1"/>
    <col min="16" max="16" width="3.85546875" customWidth="1"/>
    <col min="17" max="17" width="5.140625" customWidth="1"/>
    <col min="18" max="20" width="8.140625" customWidth="1"/>
  </cols>
  <sheetData>
    <row r="1" spans="1:28">
      <c r="A1" s="1" t="s">
        <v>46</v>
      </c>
    </row>
    <row r="2" spans="1:28" ht="15">
      <c r="B2" s="2" t="s">
        <v>0</v>
      </c>
      <c r="C2" s="781" t="s">
        <v>1</v>
      </c>
      <c r="D2" s="781"/>
      <c r="E2" s="781" t="s">
        <v>2</v>
      </c>
      <c r="F2" s="781"/>
      <c r="G2" s="781"/>
      <c r="H2" s="68"/>
      <c r="I2" s="782" t="s">
        <v>3</v>
      </c>
      <c r="J2" s="782"/>
      <c r="K2" s="3" t="s">
        <v>4</v>
      </c>
    </row>
    <row r="3" spans="1:28" ht="22.5">
      <c r="B3" s="2" t="s">
        <v>5</v>
      </c>
      <c r="C3" s="783" t="s">
        <v>42</v>
      </c>
      <c r="D3" s="783"/>
      <c r="E3" s="783"/>
      <c r="F3" s="784" t="s">
        <v>7</v>
      </c>
      <c r="G3" s="784"/>
      <c r="H3" s="69"/>
      <c r="I3" s="785" t="s">
        <v>8</v>
      </c>
      <c r="J3" s="785"/>
      <c r="K3" s="4"/>
      <c r="N3" s="67" t="s">
        <v>52</v>
      </c>
      <c r="O3" s="12">
        <v>3</v>
      </c>
    </row>
    <row r="4" spans="1:28" ht="15">
      <c r="C4" s="5"/>
      <c r="D4" s="5"/>
      <c r="E4" s="5"/>
      <c r="F4" s="5"/>
      <c r="G4" s="5"/>
      <c r="H4" s="5"/>
      <c r="I4" s="6"/>
      <c r="J4" s="5"/>
      <c r="K4" s="7"/>
    </row>
    <row r="5" spans="1:28" s="12" customFormat="1" ht="56.25">
      <c r="A5" s="8"/>
      <c r="B5" s="787" t="s">
        <v>9</v>
      </c>
      <c r="C5" s="787"/>
      <c r="D5" s="788" t="s">
        <v>10</v>
      </c>
      <c r="E5" s="788"/>
      <c r="F5" s="789" t="s">
        <v>11</v>
      </c>
      <c r="G5" s="789"/>
      <c r="H5" s="790" t="s">
        <v>53</v>
      </c>
      <c r="I5" s="791"/>
      <c r="J5" s="9" t="s">
        <v>12</v>
      </c>
      <c r="K5" s="10" t="s">
        <v>13</v>
      </c>
      <c r="L5" s="8" t="s">
        <v>11</v>
      </c>
      <c r="M5" s="11" t="s">
        <v>14</v>
      </c>
      <c r="N5" s="11" t="s">
        <v>54</v>
      </c>
      <c r="O5" s="67" t="s">
        <v>52</v>
      </c>
      <c r="P5" s="672" t="s">
        <v>62</v>
      </c>
      <c r="Q5" s="672"/>
      <c r="R5" s="667"/>
      <c r="S5" s="77" t="s">
        <v>64</v>
      </c>
      <c r="T5" s="77" t="s">
        <v>64</v>
      </c>
      <c r="U5" s="77" t="s">
        <v>64</v>
      </c>
      <c r="X5" s="290" t="s">
        <v>70</v>
      </c>
      <c r="Y5" s="793" t="s">
        <v>629</v>
      </c>
      <c r="Z5" s="793"/>
      <c r="AA5" s="793"/>
      <c r="AB5" s="793"/>
    </row>
    <row r="6" spans="1:28">
      <c r="B6" s="13" t="s">
        <v>9</v>
      </c>
      <c r="C6" s="13" t="s">
        <v>15</v>
      </c>
      <c r="D6" s="13" t="s">
        <v>16</v>
      </c>
      <c r="E6" s="13" t="s">
        <v>17</v>
      </c>
      <c r="F6" s="13" t="s">
        <v>16</v>
      </c>
      <c r="G6" s="13" t="s">
        <v>17</v>
      </c>
      <c r="H6" s="13"/>
      <c r="I6" s="13"/>
      <c r="O6" s="362">
        <v>3</v>
      </c>
      <c r="R6" s="362" t="s">
        <v>63</v>
      </c>
      <c r="Y6" s="474" t="s">
        <v>630</v>
      </c>
      <c r="Z6" s="474" t="s">
        <v>631</v>
      </c>
      <c r="AA6" s="474" t="s">
        <v>632</v>
      </c>
      <c r="AB6" s="474"/>
    </row>
    <row r="7" spans="1:28">
      <c r="A7" s="187" t="s">
        <v>131</v>
      </c>
      <c r="B7" s="102">
        <v>400</v>
      </c>
      <c r="C7" s="102">
        <v>80</v>
      </c>
      <c r="D7" s="118" t="s">
        <v>341</v>
      </c>
      <c r="E7" s="119">
        <v>42740</v>
      </c>
      <c r="F7" s="118" t="s">
        <v>428</v>
      </c>
      <c r="G7" s="119">
        <v>42752</v>
      </c>
      <c r="H7" s="16"/>
      <c r="I7" s="16"/>
      <c r="J7" s="15" t="s">
        <v>339</v>
      </c>
      <c r="K7" s="120">
        <v>42738</v>
      </c>
      <c r="L7" s="121"/>
      <c r="M7" s="102"/>
      <c r="N7" s="102"/>
      <c r="P7" s="101">
        <v>31</v>
      </c>
      <c r="Q7" s="101">
        <v>31</v>
      </c>
      <c r="R7" s="122">
        <f>P7/Q7</f>
        <v>1</v>
      </c>
      <c r="S7" s="102"/>
      <c r="T7" s="102" t="str">
        <f>IF(L7&lt;&gt;"",VLOOKUP(L7,Locataires!#REF!,4,0),"pas de Locataire")</f>
        <v>pas de Locataire</v>
      </c>
      <c r="U7" s="102" t="s">
        <v>99</v>
      </c>
      <c r="V7" s="196">
        <v>42754</v>
      </c>
      <c r="X7" s="562">
        <v>2016</v>
      </c>
    </row>
    <row r="8" spans="1:28">
      <c r="A8" s="187" t="s">
        <v>147</v>
      </c>
      <c r="B8" s="102">
        <v>400</v>
      </c>
      <c r="C8" s="102">
        <v>81</v>
      </c>
      <c r="D8" s="118" t="s">
        <v>341</v>
      </c>
      <c r="E8" s="119">
        <v>42772</v>
      </c>
      <c r="F8" s="118" t="s">
        <v>428</v>
      </c>
      <c r="G8" s="119">
        <v>42773</v>
      </c>
      <c r="H8" s="16"/>
      <c r="I8" s="16"/>
      <c r="J8" s="15" t="s">
        <v>430</v>
      </c>
      <c r="K8" s="120">
        <v>42768</v>
      </c>
      <c r="L8" s="121"/>
      <c r="M8" s="102"/>
      <c r="N8" s="102"/>
      <c r="P8" s="101">
        <v>28</v>
      </c>
      <c r="Q8" s="101">
        <v>28</v>
      </c>
      <c r="R8" s="122">
        <f t="shared" ref="R8:R19" si="0">P8/Q8</f>
        <v>1</v>
      </c>
      <c r="S8" s="102"/>
      <c r="T8" s="102" t="str">
        <f>IF(L8&lt;&gt;"",VLOOKUP(L8,Locataires!#REF!,4,0),"pas de Locataire")</f>
        <v>pas de Locataire</v>
      </c>
      <c r="U8" s="102" t="s">
        <v>99</v>
      </c>
      <c r="V8" s="200">
        <v>42773.279247685183</v>
      </c>
      <c r="X8" s="562">
        <v>2016</v>
      </c>
    </row>
    <row r="9" spans="1:28">
      <c r="A9" s="187" t="s">
        <v>134</v>
      </c>
      <c r="B9" s="102">
        <v>400</v>
      </c>
      <c r="C9" s="102">
        <v>82</v>
      </c>
      <c r="D9" s="118" t="s">
        <v>341</v>
      </c>
      <c r="E9" s="119">
        <v>42800</v>
      </c>
      <c r="F9" s="118" t="s">
        <v>389</v>
      </c>
      <c r="G9" s="119">
        <v>42807</v>
      </c>
      <c r="H9" s="16"/>
      <c r="I9" s="16"/>
      <c r="J9" s="15" t="s">
        <v>447</v>
      </c>
      <c r="K9" s="120">
        <v>42814</v>
      </c>
      <c r="L9" s="121"/>
      <c r="M9" s="102"/>
      <c r="N9" s="101" t="s">
        <v>388</v>
      </c>
      <c r="P9" s="101">
        <v>31</v>
      </c>
      <c r="Q9" s="101">
        <v>31</v>
      </c>
      <c r="R9" s="122">
        <f t="shared" si="0"/>
        <v>1</v>
      </c>
      <c r="S9" s="102"/>
      <c r="T9" s="102" t="str">
        <f>IF(L9&lt;&gt;"",VLOOKUP(L9,Locataires!#REF!,4,0),"pas de Locataire")</f>
        <v>pas de Locataire</v>
      </c>
      <c r="U9" s="102"/>
      <c r="X9" s="562">
        <v>2016</v>
      </c>
    </row>
    <row r="10" spans="1:28">
      <c r="A10" s="187" t="s">
        <v>132</v>
      </c>
      <c r="B10" s="102">
        <v>400</v>
      </c>
      <c r="C10" s="102">
        <v>83</v>
      </c>
      <c r="D10" s="118" t="s">
        <v>427</v>
      </c>
      <c r="E10" s="119">
        <v>42830</v>
      </c>
      <c r="F10" s="118" t="s">
        <v>330</v>
      </c>
      <c r="G10" s="119">
        <v>42832</v>
      </c>
      <c r="H10" s="16"/>
      <c r="I10" s="16"/>
      <c r="J10" s="15" t="s">
        <v>476</v>
      </c>
      <c r="K10" s="120">
        <v>42835</v>
      </c>
      <c r="L10" s="121"/>
      <c r="M10" s="102"/>
      <c r="N10" s="102"/>
      <c r="P10" s="101">
        <v>30</v>
      </c>
      <c r="Q10" s="101">
        <v>30</v>
      </c>
      <c r="R10" s="122">
        <f t="shared" si="0"/>
        <v>1</v>
      </c>
      <c r="S10" s="102"/>
      <c r="T10" s="102" t="str">
        <f>IF(L10&lt;&gt;"",VLOOKUP(L10,Locataires!#REF!,4,0),"pas de Locataire")</f>
        <v>pas de Locataire</v>
      </c>
      <c r="U10" s="102"/>
      <c r="X10" s="562">
        <v>2016</v>
      </c>
    </row>
    <row r="11" spans="1:28">
      <c r="A11" s="187" t="s">
        <v>136</v>
      </c>
      <c r="B11" s="102">
        <v>400</v>
      </c>
      <c r="C11" s="102">
        <v>84</v>
      </c>
      <c r="D11" s="118" t="s">
        <v>427</v>
      </c>
      <c r="E11" s="119">
        <v>42860</v>
      </c>
      <c r="F11" s="118" t="s">
        <v>429</v>
      </c>
      <c r="G11" s="119">
        <v>42865</v>
      </c>
      <c r="H11" s="16"/>
      <c r="I11" s="16"/>
      <c r="J11" s="15" t="s">
        <v>477</v>
      </c>
      <c r="K11" s="120">
        <v>42866</v>
      </c>
      <c r="L11" s="121"/>
      <c r="M11" s="102"/>
      <c r="N11" s="102"/>
      <c r="P11" s="101">
        <v>31</v>
      </c>
      <c r="Q11" s="101">
        <v>31</v>
      </c>
      <c r="R11" s="122">
        <f t="shared" si="0"/>
        <v>1</v>
      </c>
      <c r="S11" s="102"/>
      <c r="T11" s="102" t="str">
        <f>IF(L11&lt;&gt;"",VLOOKUP(L11,Locataires!#REF!,4,0),"pas de Locataire")</f>
        <v>pas de Locataire</v>
      </c>
      <c r="U11" s="102"/>
      <c r="X11" s="562">
        <v>2016</v>
      </c>
    </row>
    <row r="12" spans="1:28">
      <c r="A12" s="187" t="s">
        <v>137</v>
      </c>
      <c r="B12" s="102">
        <v>400</v>
      </c>
      <c r="C12" s="102">
        <v>85</v>
      </c>
      <c r="D12" s="118" t="s">
        <v>427</v>
      </c>
      <c r="E12" s="119">
        <v>42892</v>
      </c>
      <c r="F12" s="118" t="s">
        <v>223</v>
      </c>
      <c r="G12" s="119"/>
      <c r="H12" s="16"/>
      <c r="I12" s="16"/>
      <c r="J12" s="15" t="s">
        <v>478</v>
      </c>
      <c r="K12" s="120">
        <v>42900</v>
      </c>
      <c r="L12" s="121"/>
      <c r="M12" s="102"/>
      <c r="N12" s="102"/>
      <c r="P12" s="101">
        <v>30</v>
      </c>
      <c r="Q12" s="101">
        <v>30</v>
      </c>
      <c r="R12" s="122">
        <f t="shared" si="0"/>
        <v>1</v>
      </c>
      <c r="S12" s="102"/>
      <c r="T12" s="102" t="str">
        <f>IF(L12&lt;&gt;"",VLOOKUP(L12,Locataires!#REF!,4,0),"pas de Locataire")</f>
        <v>pas de Locataire</v>
      </c>
      <c r="U12" s="102"/>
      <c r="X12" s="562">
        <v>2016</v>
      </c>
    </row>
    <row r="13" spans="1:28">
      <c r="A13" s="187" t="s">
        <v>138</v>
      </c>
      <c r="B13" s="102">
        <v>400</v>
      </c>
      <c r="C13" s="102">
        <v>86</v>
      </c>
      <c r="D13" s="118" t="s">
        <v>339</v>
      </c>
      <c r="E13" s="119"/>
      <c r="F13" s="118" t="s">
        <v>223</v>
      </c>
      <c r="G13" s="119"/>
      <c r="H13" s="16"/>
      <c r="I13" s="16"/>
      <c r="J13" s="15" t="s">
        <v>479</v>
      </c>
      <c r="K13" s="120"/>
      <c r="L13" s="121"/>
      <c r="M13" s="102"/>
      <c r="N13" s="102"/>
      <c r="P13" s="101">
        <v>31</v>
      </c>
      <c r="Q13" s="101">
        <v>31</v>
      </c>
      <c r="R13" s="122">
        <f t="shared" si="0"/>
        <v>1</v>
      </c>
      <c r="S13" s="102"/>
      <c r="T13" s="102" t="str">
        <f>IF(L13&lt;&gt;"",VLOOKUP(L13,Locataires!#REF!,4,0),"pas de Locataire")</f>
        <v>pas de Locataire</v>
      </c>
      <c r="U13" s="102"/>
      <c r="X13" s="562">
        <v>2016</v>
      </c>
    </row>
    <row r="14" spans="1:28">
      <c r="A14" s="187" t="s">
        <v>139</v>
      </c>
      <c r="B14" s="102">
        <v>400</v>
      </c>
      <c r="C14" s="102">
        <v>87</v>
      </c>
      <c r="D14" s="118" t="s">
        <v>339</v>
      </c>
      <c r="E14" s="119"/>
      <c r="F14" s="118" t="s">
        <v>223</v>
      </c>
      <c r="G14" s="119"/>
      <c r="H14" s="16"/>
      <c r="I14" s="16"/>
      <c r="J14" s="15" t="s">
        <v>480</v>
      </c>
      <c r="K14" s="120"/>
      <c r="L14" s="121"/>
      <c r="M14" s="102"/>
      <c r="N14" s="102"/>
      <c r="P14" s="101">
        <v>31</v>
      </c>
      <c r="Q14" s="101">
        <v>31</v>
      </c>
      <c r="R14" s="122">
        <f t="shared" si="0"/>
        <v>1</v>
      </c>
      <c r="S14" s="102"/>
      <c r="T14" s="102" t="str">
        <f>IF(L14&lt;&gt;"",VLOOKUP(L14,Locataires!#REF!,4,0),"pas de Locataire")</f>
        <v>pas de Locataire</v>
      </c>
      <c r="U14" s="102"/>
      <c r="X14" s="562">
        <v>2016</v>
      </c>
    </row>
    <row r="15" spans="1:28">
      <c r="A15" s="187" t="s">
        <v>140</v>
      </c>
      <c r="B15" s="102">
        <v>380</v>
      </c>
      <c r="C15" s="102">
        <v>70</v>
      </c>
      <c r="D15" s="118" t="s">
        <v>339</v>
      </c>
      <c r="E15" s="119"/>
      <c r="H15" s="16"/>
      <c r="I15" s="16"/>
      <c r="J15" s="15" t="s">
        <v>481</v>
      </c>
      <c r="K15" s="120"/>
      <c r="L15" s="121" t="s">
        <v>78</v>
      </c>
      <c r="M15" s="102"/>
      <c r="N15" s="102"/>
      <c r="P15" s="101">
        <v>30</v>
      </c>
      <c r="Q15" s="101">
        <v>30</v>
      </c>
      <c r="R15" s="122">
        <f t="shared" si="0"/>
        <v>1</v>
      </c>
      <c r="S15" s="102"/>
      <c r="T15" s="102" t="e">
        <f>IF(L15&lt;&gt;"",VLOOKUP(L15,Locataires!#REF!,4,0),"pas de Locataire")</f>
        <v>#REF!</v>
      </c>
      <c r="U15" s="102"/>
      <c r="X15" s="562">
        <v>2016</v>
      </c>
    </row>
    <row r="16" spans="1:28">
      <c r="A16" s="187" t="s">
        <v>141</v>
      </c>
      <c r="B16" s="102">
        <v>380</v>
      </c>
      <c r="C16" s="102">
        <v>70</v>
      </c>
      <c r="D16" s="118" t="s">
        <v>339</v>
      </c>
      <c r="E16" s="119"/>
      <c r="F16" s="118">
        <v>450</v>
      </c>
      <c r="G16" s="119">
        <v>42654</v>
      </c>
      <c r="H16" s="16"/>
      <c r="I16" s="16"/>
      <c r="J16" s="15" t="s">
        <v>482</v>
      </c>
      <c r="K16" s="120"/>
      <c r="L16" s="121" t="s">
        <v>78</v>
      </c>
      <c r="M16" s="102"/>
      <c r="N16" s="102"/>
      <c r="P16" s="101">
        <v>31</v>
      </c>
      <c r="Q16" s="101">
        <v>31</v>
      </c>
      <c r="R16" s="122">
        <f t="shared" si="0"/>
        <v>1</v>
      </c>
      <c r="S16" s="102"/>
      <c r="T16" s="102" t="e">
        <f>IF(L16&lt;&gt;"",VLOOKUP(L16,Locataires!#REF!,4,0),"pas de Locataire")</f>
        <v>#REF!</v>
      </c>
      <c r="U16" s="102"/>
      <c r="X16" s="562">
        <v>2016</v>
      </c>
    </row>
    <row r="17" spans="1:25">
      <c r="A17" s="188" t="s">
        <v>135</v>
      </c>
      <c r="B17" s="102">
        <v>380</v>
      </c>
      <c r="C17" s="102">
        <v>70</v>
      </c>
      <c r="D17" s="118">
        <v>272</v>
      </c>
      <c r="E17" s="119">
        <v>42678</v>
      </c>
      <c r="F17" s="118" t="s">
        <v>223</v>
      </c>
      <c r="G17" s="119"/>
      <c r="H17" s="16"/>
      <c r="I17" s="16"/>
      <c r="J17" s="15" t="s">
        <v>483</v>
      </c>
      <c r="K17" s="120"/>
      <c r="L17" s="121" t="s">
        <v>78</v>
      </c>
      <c r="M17" s="102"/>
      <c r="N17" s="102"/>
      <c r="P17" s="101">
        <v>30</v>
      </c>
      <c r="Q17" s="101">
        <v>30</v>
      </c>
      <c r="R17" s="122">
        <f t="shared" si="0"/>
        <v>1</v>
      </c>
      <c r="S17" s="102"/>
      <c r="T17" s="102" t="e">
        <f>IF(L17&lt;&gt;"",VLOOKUP(L17,Locataires!#REF!,4,0),"pas de Locataire")</f>
        <v>#REF!</v>
      </c>
      <c r="U17" s="102"/>
      <c r="V17" s="146">
        <v>42690</v>
      </c>
      <c r="W17" s="399"/>
      <c r="X17" s="562">
        <v>2016</v>
      </c>
    </row>
    <row r="18" spans="1:25">
      <c r="A18" s="188" t="s">
        <v>142</v>
      </c>
      <c r="B18" s="102">
        <v>380</v>
      </c>
      <c r="C18" s="102">
        <v>70</v>
      </c>
      <c r="D18" s="118">
        <v>272</v>
      </c>
      <c r="E18" s="119">
        <v>42709</v>
      </c>
      <c r="F18" s="118" t="s">
        <v>223</v>
      </c>
      <c r="G18" s="119"/>
      <c r="H18" s="152"/>
      <c r="I18" s="152"/>
      <c r="J18" s="15" t="s">
        <v>484</v>
      </c>
      <c r="K18" s="153"/>
      <c r="L18" s="399" t="s">
        <v>78</v>
      </c>
      <c r="M18" s="102"/>
      <c r="N18" s="102"/>
      <c r="P18" s="101">
        <v>31</v>
      </c>
      <c r="Q18" s="101">
        <v>31</v>
      </c>
      <c r="R18" s="122">
        <f t="shared" si="0"/>
        <v>1</v>
      </c>
      <c r="S18" s="102"/>
      <c r="T18" s="102" t="e">
        <f>IF(L18&lt;&gt;"",VLOOKUP(L18,Locataires!#REF!,4,0),"pas de Locataire")</f>
        <v>#REF!</v>
      </c>
      <c r="U18" s="102"/>
      <c r="V18" s="399"/>
      <c r="W18" s="399"/>
      <c r="X18" s="562">
        <v>2016</v>
      </c>
    </row>
    <row r="19" spans="1:25">
      <c r="A19" s="187" t="s">
        <v>131</v>
      </c>
      <c r="B19" s="102">
        <v>380</v>
      </c>
      <c r="C19" s="102">
        <v>70</v>
      </c>
      <c r="D19" s="118">
        <v>272</v>
      </c>
      <c r="E19" s="119">
        <v>42740</v>
      </c>
      <c r="F19" s="118">
        <v>178</v>
      </c>
      <c r="G19" s="119">
        <v>42752</v>
      </c>
      <c r="H19" s="16"/>
      <c r="I19" s="16"/>
      <c r="J19" s="15">
        <v>0</v>
      </c>
      <c r="K19" s="120">
        <v>42768</v>
      </c>
      <c r="L19" s="121" t="s">
        <v>78</v>
      </c>
      <c r="M19" s="102"/>
      <c r="N19" s="102"/>
      <c r="P19" s="101">
        <v>28</v>
      </c>
      <c r="Q19" s="101">
        <v>28</v>
      </c>
      <c r="R19" s="122">
        <f t="shared" si="0"/>
        <v>1</v>
      </c>
      <c r="S19" s="102"/>
      <c r="T19" s="102" t="e">
        <f>IF(L19&lt;&gt;"",VLOOKUP(L19,Locataires!C5:L7,4,0),"pas de Locataire")</f>
        <v>#N/A</v>
      </c>
      <c r="U19" s="102" t="s">
        <v>99</v>
      </c>
      <c r="V19" s="200">
        <v>42773.279247685183</v>
      </c>
      <c r="X19" s="390">
        <v>2017</v>
      </c>
      <c r="Y19" s="147"/>
    </row>
    <row r="20" spans="1:25">
      <c r="A20" s="187" t="s">
        <v>147</v>
      </c>
      <c r="B20" s="102">
        <v>380</v>
      </c>
      <c r="C20" s="102">
        <v>70</v>
      </c>
      <c r="D20" s="118">
        <v>272</v>
      </c>
      <c r="E20" s="119"/>
      <c r="F20" s="118">
        <v>178</v>
      </c>
      <c r="G20" s="119">
        <v>42773</v>
      </c>
      <c r="H20" s="16"/>
      <c r="I20" s="16"/>
      <c r="J20" s="15">
        <v>0</v>
      </c>
      <c r="K20" s="120"/>
      <c r="L20" s="121" t="s">
        <v>78</v>
      </c>
      <c r="M20" s="102"/>
      <c r="N20" s="102"/>
      <c r="P20" s="101">
        <v>28</v>
      </c>
      <c r="Q20" s="101">
        <v>28</v>
      </c>
      <c r="R20" s="122">
        <f t="shared" ref="R20:R30" si="1">P20/Q20</f>
        <v>1</v>
      </c>
      <c r="S20" s="102"/>
      <c r="T20" s="102" t="e">
        <f>IF(L20&lt;&gt;"",VLOOKUP(L20,Locataires!C6:L8,4,0),"pas de Locataire")</f>
        <v>#N/A</v>
      </c>
      <c r="U20" s="102" t="s">
        <v>99</v>
      </c>
      <c r="V20" s="200">
        <v>42773.279247685183</v>
      </c>
      <c r="X20" s="390">
        <v>2017</v>
      </c>
    </row>
    <row r="21" spans="1:25">
      <c r="A21" s="187" t="s">
        <v>134</v>
      </c>
      <c r="B21" s="102">
        <v>380</v>
      </c>
      <c r="C21" s="102">
        <v>70</v>
      </c>
      <c r="D21" s="118">
        <v>272</v>
      </c>
      <c r="E21" s="119"/>
      <c r="F21" s="118"/>
      <c r="G21" s="119"/>
      <c r="H21" s="16"/>
      <c r="I21" s="16"/>
      <c r="J21" s="15">
        <v>-178</v>
      </c>
      <c r="K21" s="120"/>
      <c r="L21" s="121" t="s">
        <v>78</v>
      </c>
      <c r="M21" s="102"/>
      <c r="N21" s="101" t="s">
        <v>388</v>
      </c>
      <c r="P21" s="101">
        <v>31</v>
      </c>
      <c r="Q21" s="101">
        <v>31</v>
      </c>
      <c r="R21" s="122">
        <f t="shared" si="1"/>
        <v>1</v>
      </c>
      <c r="S21" s="102"/>
      <c r="T21" s="102" t="e">
        <f>IF(L21&lt;&gt;"",VLOOKUP(L21,Locataires!C7:L8,4,0),"pas de Locataire")</f>
        <v>#N/A</v>
      </c>
      <c r="U21" s="102"/>
      <c r="X21" s="390">
        <v>2017</v>
      </c>
    </row>
    <row r="22" spans="1:25">
      <c r="A22" s="187" t="s">
        <v>132</v>
      </c>
      <c r="B22" s="102">
        <v>380</v>
      </c>
      <c r="C22" s="102">
        <v>70</v>
      </c>
      <c r="D22" s="118">
        <v>329</v>
      </c>
      <c r="E22" s="119"/>
      <c r="F22" s="118">
        <v>120</v>
      </c>
      <c r="G22" s="119">
        <v>42832</v>
      </c>
      <c r="H22" s="16"/>
      <c r="I22" s="16"/>
      <c r="J22" s="15">
        <v>-1</v>
      </c>
      <c r="K22" s="120"/>
      <c r="L22" s="121" t="s">
        <v>78</v>
      </c>
      <c r="M22" s="102"/>
      <c r="N22" s="102"/>
      <c r="P22" s="101">
        <v>30</v>
      </c>
      <c r="Q22" s="101">
        <v>30</v>
      </c>
      <c r="R22" s="122">
        <f t="shared" si="1"/>
        <v>1</v>
      </c>
      <c r="S22" s="102"/>
      <c r="T22" s="102" t="e">
        <f>IF(L22&lt;&gt;"",VLOOKUP(L22,Locataires!C8:L8,4,0),"pas de Locataire")</f>
        <v>#N/A</v>
      </c>
      <c r="U22" s="102"/>
      <c r="X22" s="390">
        <v>2017</v>
      </c>
    </row>
    <row r="23" spans="1:25">
      <c r="A23" s="187" t="s">
        <v>136</v>
      </c>
      <c r="B23" s="102">
        <v>380</v>
      </c>
      <c r="C23" s="102">
        <v>70</v>
      </c>
      <c r="D23" s="118">
        <v>329</v>
      </c>
      <c r="E23" s="119"/>
      <c r="F23" s="118">
        <v>121</v>
      </c>
      <c r="G23" s="119">
        <v>42865</v>
      </c>
      <c r="H23" s="16"/>
      <c r="I23" s="16"/>
      <c r="J23" s="15">
        <v>0</v>
      </c>
      <c r="K23" s="120"/>
      <c r="L23" s="121" t="s">
        <v>78</v>
      </c>
      <c r="M23" s="102"/>
      <c r="N23" s="102"/>
      <c r="P23" s="101">
        <v>31</v>
      </c>
      <c r="Q23" s="101">
        <v>31</v>
      </c>
      <c r="R23" s="122">
        <f t="shared" si="1"/>
        <v>1</v>
      </c>
      <c r="S23" s="102"/>
      <c r="T23" s="102" t="e">
        <f>IF(L23&lt;&gt;"",VLOOKUP(L23,Locataires!#REF!,4,0),"pas de Locataire")</f>
        <v>#REF!</v>
      </c>
      <c r="U23" s="102"/>
      <c r="X23" s="390">
        <v>2017</v>
      </c>
    </row>
    <row r="24" spans="1:25">
      <c r="A24" s="187" t="s">
        <v>137</v>
      </c>
      <c r="B24" s="102">
        <v>380</v>
      </c>
      <c r="C24" s="102">
        <v>70</v>
      </c>
      <c r="D24" s="118">
        <v>329</v>
      </c>
      <c r="E24" s="119"/>
      <c r="F24" s="118"/>
      <c r="G24" s="119"/>
      <c r="H24" s="16"/>
      <c r="I24" s="16"/>
      <c r="J24" s="15">
        <v>-121</v>
      </c>
      <c r="K24" s="120"/>
      <c r="L24" s="121" t="s">
        <v>78</v>
      </c>
      <c r="M24" s="102"/>
      <c r="N24" s="102" t="s">
        <v>735</v>
      </c>
      <c r="P24" s="101">
        <v>30</v>
      </c>
      <c r="Q24" s="101">
        <v>30</v>
      </c>
      <c r="R24" s="122">
        <f t="shared" si="1"/>
        <v>1</v>
      </c>
      <c r="S24" s="102"/>
      <c r="T24" s="102" t="e">
        <f>IF(L24&lt;&gt;"",VLOOKUP(L24,Locataires!#REF!,4,0),"pas de Locataire")</f>
        <v>#REF!</v>
      </c>
      <c r="U24" s="102"/>
      <c r="X24" s="390">
        <v>2017</v>
      </c>
    </row>
    <row r="25" spans="1:25">
      <c r="A25" s="187" t="s">
        <v>138</v>
      </c>
      <c r="B25" s="102">
        <v>380</v>
      </c>
      <c r="C25" s="102">
        <v>70</v>
      </c>
      <c r="D25" s="118">
        <v>329</v>
      </c>
      <c r="E25" s="119"/>
      <c r="F25" s="118"/>
      <c r="G25" s="119"/>
      <c r="H25" s="16"/>
      <c r="I25" s="16"/>
      <c r="J25" s="15">
        <v>-121</v>
      </c>
      <c r="K25" s="120"/>
      <c r="L25" s="121" t="s">
        <v>78</v>
      </c>
      <c r="M25" s="102"/>
      <c r="N25" s="102" t="s">
        <v>736</v>
      </c>
      <c r="P25" s="101">
        <v>31</v>
      </c>
      <c r="Q25" s="101">
        <v>31</v>
      </c>
      <c r="R25" s="122">
        <f t="shared" si="1"/>
        <v>1</v>
      </c>
      <c r="S25" s="102"/>
      <c r="T25" s="102" t="e">
        <f>IF(L25&lt;&gt;"",VLOOKUP(L25,Locataires!#REF!,4,0),"pas de Locataire")</f>
        <v>#REF!</v>
      </c>
      <c r="U25" s="102"/>
      <c r="X25" s="390">
        <v>2017</v>
      </c>
    </row>
    <row r="26" spans="1:25">
      <c r="A26" s="187" t="s">
        <v>139</v>
      </c>
      <c r="B26" s="102">
        <v>380</v>
      </c>
      <c r="C26" s="102">
        <v>70</v>
      </c>
      <c r="D26" s="118">
        <v>0</v>
      </c>
      <c r="E26" s="119"/>
      <c r="F26" s="118"/>
      <c r="G26" s="119"/>
      <c r="H26" s="16"/>
      <c r="I26" s="16"/>
      <c r="J26" s="15">
        <v>-450</v>
      </c>
      <c r="K26" s="120"/>
      <c r="L26" s="121" t="s">
        <v>78</v>
      </c>
      <c r="M26" s="102"/>
      <c r="N26" s="102" t="s">
        <v>736</v>
      </c>
      <c r="P26" s="101">
        <v>31</v>
      </c>
      <c r="Q26" s="101">
        <v>31</v>
      </c>
      <c r="R26" s="122">
        <f t="shared" si="1"/>
        <v>1</v>
      </c>
      <c r="S26" s="102"/>
      <c r="T26" s="102" t="e">
        <f>IF(L26&lt;&gt;"",VLOOKUP(L26,Locataires!#REF!,4,0),"pas de Locataire")</f>
        <v>#REF!</v>
      </c>
      <c r="U26" s="102"/>
      <c r="X26" s="390">
        <v>2017</v>
      </c>
    </row>
    <row r="27" spans="1:25">
      <c r="A27" s="187" t="s">
        <v>140</v>
      </c>
      <c r="B27" s="102">
        <v>390</v>
      </c>
      <c r="C27" s="102">
        <v>70</v>
      </c>
      <c r="D27" s="118">
        <v>0</v>
      </c>
      <c r="E27" s="119"/>
      <c r="F27" s="118">
        <v>460</v>
      </c>
      <c r="G27" s="119">
        <v>42975</v>
      </c>
      <c r="H27" s="16"/>
      <c r="I27" s="16"/>
      <c r="J27" s="15">
        <v>0</v>
      </c>
      <c r="K27" s="120"/>
      <c r="L27" s="121" t="s">
        <v>520</v>
      </c>
      <c r="M27" s="102"/>
      <c r="N27" s="102" t="s">
        <v>737</v>
      </c>
      <c r="P27" s="101">
        <v>30</v>
      </c>
      <c r="Q27" s="101">
        <v>30</v>
      </c>
      <c r="R27" s="122">
        <f t="shared" si="1"/>
        <v>1</v>
      </c>
      <c r="S27" s="102"/>
      <c r="T27" s="102" t="e">
        <f>IF(L27&lt;&gt;"",VLOOKUP(L27,Locataires!#REF!,4,0),"pas de Locataire")</f>
        <v>#REF!</v>
      </c>
      <c r="U27" s="102"/>
      <c r="X27" s="390">
        <v>2017</v>
      </c>
    </row>
    <row r="28" spans="1:25">
      <c r="A28" s="187" t="s">
        <v>141</v>
      </c>
      <c r="B28" s="102">
        <v>390</v>
      </c>
      <c r="C28" s="102">
        <v>70</v>
      </c>
      <c r="D28" s="118">
        <v>0</v>
      </c>
      <c r="E28" s="119"/>
      <c r="F28" s="118">
        <v>460</v>
      </c>
      <c r="G28" s="119">
        <v>43008</v>
      </c>
      <c r="H28" s="16"/>
      <c r="I28" s="16"/>
      <c r="J28" s="15">
        <v>0</v>
      </c>
      <c r="K28" s="120">
        <v>43012</v>
      </c>
      <c r="L28" s="121" t="s">
        <v>520</v>
      </c>
      <c r="M28" s="102"/>
      <c r="N28" s="102"/>
      <c r="P28" s="101">
        <v>31</v>
      </c>
      <c r="Q28" s="101">
        <v>31</v>
      </c>
      <c r="R28" s="122">
        <f t="shared" si="1"/>
        <v>1</v>
      </c>
      <c r="S28" s="102"/>
      <c r="T28" s="102" t="e">
        <f>IF(L28&lt;&gt;"",VLOOKUP(L28,Locataires!#REF!,4,0),"pas de Locataire")</f>
        <v>#REF!</v>
      </c>
      <c r="U28" s="102"/>
      <c r="X28" s="390">
        <v>2017</v>
      </c>
    </row>
    <row r="29" spans="1:25">
      <c r="A29" s="188" t="s">
        <v>135</v>
      </c>
      <c r="B29" s="102">
        <v>390</v>
      </c>
      <c r="C29" s="102">
        <v>70</v>
      </c>
      <c r="D29" s="118">
        <v>0</v>
      </c>
      <c r="E29" s="119"/>
      <c r="F29" s="118">
        <v>460</v>
      </c>
      <c r="G29" s="119">
        <v>43041</v>
      </c>
      <c r="H29" s="16"/>
      <c r="I29" s="16"/>
      <c r="J29" s="15">
        <v>0</v>
      </c>
      <c r="K29" s="120">
        <v>43041</v>
      </c>
      <c r="L29" s="121" t="s">
        <v>520</v>
      </c>
      <c r="M29" s="102"/>
      <c r="N29" s="102"/>
      <c r="P29" s="101">
        <v>30</v>
      </c>
      <c r="Q29" s="101">
        <v>30</v>
      </c>
      <c r="R29" s="122">
        <f t="shared" si="1"/>
        <v>1</v>
      </c>
      <c r="S29" s="102"/>
      <c r="T29" s="102" t="e">
        <f>IF(L29&lt;&gt;"",VLOOKUP(L29,Locataires!#REF!,4,0),"pas de Locataire")</f>
        <v>#REF!</v>
      </c>
      <c r="U29" s="102"/>
      <c r="W29" s="363"/>
      <c r="X29" s="390">
        <v>2017</v>
      </c>
    </row>
    <row r="30" spans="1:25">
      <c r="A30" s="188" t="s">
        <v>142</v>
      </c>
      <c r="B30" s="102">
        <v>390</v>
      </c>
      <c r="C30" s="102">
        <v>70</v>
      </c>
      <c r="D30" s="118">
        <v>0</v>
      </c>
      <c r="E30" s="119"/>
      <c r="F30" s="118">
        <v>460</v>
      </c>
      <c r="G30" s="119">
        <v>43073</v>
      </c>
      <c r="H30" s="152"/>
      <c r="I30" s="152"/>
      <c r="J30" s="15">
        <v>0</v>
      </c>
      <c r="K30" s="153">
        <v>43075</v>
      </c>
      <c r="L30" s="363" t="s">
        <v>520</v>
      </c>
      <c r="M30" s="102"/>
      <c r="N30" s="102"/>
      <c r="P30" s="101">
        <v>31</v>
      </c>
      <c r="Q30" s="101">
        <v>31</v>
      </c>
      <c r="R30" s="122">
        <f t="shared" si="1"/>
        <v>1</v>
      </c>
      <c r="S30" s="102"/>
      <c r="T30" s="102" t="e">
        <f>IF(L30&lt;&gt;"",VLOOKUP(L30,Locataires!#REF!,4,0),"pas de Locataire")</f>
        <v>#REF!</v>
      </c>
      <c r="U30" s="102"/>
      <c r="W30" s="363"/>
      <c r="X30" s="390">
        <v>2017</v>
      </c>
    </row>
    <row r="31" spans="1:25">
      <c r="A31" s="187" t="s">
        <v>131</v>
      </c>
      <c r="B31" s="102">
        <v>390</v>
      </c>
      <c r="C31" s="102">
        <v>70</v>
      </c>
      <c r="D31" s="118">
        <v>0</v>
      </c>
      <c r="E31" s="119"/>
      <c r="F31" s="118">
        <v>460</v>
      </c>
      <c r="G31" s="119">
        <v>43104</v>
      </c>
      <c r="H31" s="16"/>
      <c r="I31" s="16"/>
      <c r="J31" s="15">
        <v>0</v>
      </c>
      <c r="K31" s="120">
        <v>43108</v>
      </c>
      <c r="L31" s="121" t="s">
        <v>520</v>
      </c>
      <c r="M31" s="102"/>
      <c r="N31" s="102"/>
      <c r="P31" s="101">
        <v>31</v>
      </c>
      <c r="Q31" s="101">
        <v>31</v>
      </c>
      <c r="R31" s="122">
        <f>P31/Q31</f>
        <v>1</v>
      </c>
      <c r="S31" s="102"/>
      <c r="T31" s="102" t="e">
        <f>IF(L31&lt;&gt;"",VLOOKUP(L31,Locataires!C11:L13,4,0),"pas de Locataire")</f>
        <v>#N/A</v>
      </c>
      <c r="U31" s="102" t="s">
        <v>99</v>
      </c>
      <c r="X31" s="562">
        <v>2018</v>
      </c>
    </row>
    <row r="32" spans="1:25">
      <c r="A32" s="187" t="s">
        <v>147</v>
      </c>
      <c r="B32" s="102">
        <v>390</v>
      </c>
      <c r="C32" s="102">
        <v>70</v>
      </c>
      <c r="D32" s="118">
        <v>0</v>
      </c>
      <c r="E32" s="119"/>
      <c r="F32" s="118">
        <v>460</v>
      </c>
      <c r="G32" s="119">
        <v>43137</v>
      </c>
      <c r="H32" s="16"/>
      <c r="I32" s="16"/>
      <c r="J32" s="15">
        <v>0</v>
      </c>
      <c r="K32" s="120">
        <v>43144</v>
      </c>
      <c r="L32" s="121" t="s">
        <v>520</v>
      </c>
      <c r="M32" s="102"/>
      <c r="N32" s="102"/>
      <c r="P32" s="101">
        <v>28</v>
      </c>
      <c r="Q32" s="101">
        <v>28</v>
      </c>
      <c r="R32" s="122">
        <f t="shared" ref="R32:R42" si="2">P32/Q32</f>
        <v>1</v>
      </c>
      <c r="S32" s="102"/>
      <c r="T32" s="102" t="e">
        <f>IF(L32&lt;&gt;"",VLOOKUP(L32,Locataires!C11:L13,4,0),"pas de Locataire")</f>
        <v>#N/A</v>
      </c>
      <c r="U32" s="102" t="s">
        <v>99</v>
      </c>
      <c r="X32" s="562">
        <v>2018</v>
      </c>
    </row>
    <row r="33" spans="1:24">
      <c r="A33" s="187" t="s">
        <v>134</v>
      </c>
      <c r="B33" s="102">
        <v>390</v>
      </c>
      <c r="C33" s="102">
        <v>70</v>
      </c>
      <c r="D33" s="118">
        <v>0</v>
      </c>
      <c r="E33" s="119"/>
      <c r="F33" s="118">
        <v>460</v>
      </c>
      <c r="G33" s="119">
        <v>43167</v>
      </c>
      <c r="H33" s="16"/>
      <c r="I33" s="16"/>
      <c r="J33" s="15">
        <v>0</v>
      </c>
      <c r="K33" s="120">
        <v>43167</v>
      </c>
      <c r="L33" s="121" t="s">
        <v>520</v>
      </c>
      <c r="M33" s="102"/>
      <c r="N33" s="101"/>
      <c r="P33" s="101">
        <v>31</v>
      </c>
      <c r="Q33" s="101">
        <v>31</v>
      </c>
      <c r="R33" s="122">
        <f t="shared" si="2"/>
        <v>1</v>
      </c>
      <c r="S33" s="102"/>
      <c r="T33" s="102" t="e">
        <f>IF(L33&lt;&gt;"",VLOOKUP(L33,Locataires!C12:L13,4,0),"pas de Locataire")</f>
        <v>#N/A</v>
      </c>
      <c r="U33" s="102"/>
      <c r="X33" s="562">
        <v>2018</v>
      </c>
    </row>
    <row r="34" spans="1:24">
      <c r="A34" s="187" t="s">
        <v>132</v>
      </c>
      <c r="B34" s="102">
        <v>390</v>
      </c>
      <c r="C34" s="102">
        <v>70</v>
      </c>
      <c r="D34" s="118">
        <v>0</v>
      </c>
      <c r="E34" s="119"/>
      <c r="F34" s="118">
        <v>460</v>
      </c>
      <c r="G34" s="119">
        <v>43196</v>
      </c>
      <c r="H34" s="16"/>
      <c r="I34" s="16"/>
      <c r="J34" s="15">
        <v>0</v>
      </c>
      <c r="K34" s="120">
        <v>43196</v>
      </c>
      <c r="L34" s="121" t="s">
        <v>520</v>
      </c>
      <c r="M34" s="102"/>
      <c r="N34" s="102"/>
      <c r="P34" s="101">
        <v>30</v>
      </c>
      <c r="Q34" s="101">
        <v>30</v>
      </c>
      <c r="R34" s="122">
        <f t="shared" si="2"/>
        <v>1</v>
      </c>
      <c r="S34" s="102"/>
      <c r="T34" s="102" t="e">
        <f>IF(L34&lt;&gt;"",VLOOKUP(L34,Locataires!C13:L13,4,0),"pas de Locataire")</f>
        <v>#N/A</v>
      </c>
      <c r="U34" s="102"/>
      <c r="X34" s="562">
        <v>2018</v>
      </c>
    </row>
    <row r="35" spans="1:24">
      <c r="A35" s="187" t="s">
        <v>136</v>
      </c>
      <c r="B35" s="102">
        <v>390</v>
      </c>
      <c r="C35" s="102">
        <v>70</v>
      </c>
      <c r="D35" s="118">
        <v>0</v>
      </c>
      <c r="E35" s="119"/>
      <c r="F35" s="118">
        <v>460</v>
      </c>
      <c r="G35" s="119">
        <v>43223</v>
      </c>
      <c r="H35" s="16"/>
      <c r="I35" s="16"/>
      <c r="J35" s="15">
        <v>0</v>
      </c>
      <c r="K35" s="120">
        <v>43223</v>
      </c>
      <c r="L35" s="121" t="s">
        <v>520</v>
      </c>
      <c r="M35" s="102"/>
      <c r="N35" s="102"/>
      <c r="P35" s="101">
        <v>31</v>
      </c>
      <c r="Q35" s="101">
        <v>31</v>
      </c>
      <c r="R35" s="122">
        <f t="shared" si="2"/>
        <v>1</v>
      </c>
      <c r="S35" s="102"/>
      <c r="T35" s="102" t="e">
        <f>IF(L35&lt;&gt;"",VLOOKUP(L35,Locataires!#REF!,4,0),"pas de Locataire")</f>
        <v>#REF!</v>
      </c>
      <c r="U35" s="102"/>
      <c r="X35" s="562">
        <v>2018</v>
      </c>
    </row>
    <row r="36" spans="1:24">
      <c r="A36" s="187" t="s">
        <v>137</v>
      </c>
      <c r="B36" s="102">
        <v>390</v>
      </c>
      <c r="C36" s="102">
        <v>70</v>
      </c>
      <c r="D36" s="118">
        <v>0</v>
      </c>
      <c r="E36" s="119"/>
      <c r="F36" s="118">
        <v>460</v>
      </c>
      <c r="G36" s="119">
        <v>43259</v>
      </c>
      <c r="H36" s="16"/>
      <c r="I36" s="16"/>
      <c r="J36" s="15">
        <v>0</v>
      </c>
      <c r="K36" s="120"/>
      <c r="L36" s="121" t="s">
        <v>520</v>
      </c>
      <c r="M36" s="102"/>
      <c r="N36" s="102"/>
      <c r="P36" s="101">
        <v>30</v>
      </c>
      <c r="Q36" s="101">
        <v>30</v>
      </c>
      <c r="R36" s="122">
        <f t="shared" si="2"/>
        <v>1</v>
      </c>
      <c r="S36" s="102"/>
      <c r="T36" s="102" t="e">
        <f>IF(L36&lt;&gt;"",VLOOKUP(L36,Locataires!#REF!,4,0),"pas de Locataire")</f>
        <v>#REF!</v>
      </c>
      <c r="U36" s="102"/>
      <c r="X36" s="562">
        <v>2018</v>
      </c>
    </row>
    <row r="37" spans="1:24">
      <c r="A37" s="187" t="s">
        <v>138</v>
      </c>
      <c r="B37" s="102">
        <v>390</v>
      </c>
      <c r="C37" s="102">
        <v>70</v>
      </c>
      <c r="D37" s="118">
        <v>0</v>
      </c>
      <c r="E37" s="119"/>
      <c r="F37" s="118">
        <v>460</v>
      </c>
      <c r="G37" s="119">
        <v>43283</v>
      </c>
      <c r="H37" s="16"/>
      <c r="I37" s="16"/>
      <c r="J37" s="15">
        <v>0</v>
      </c>
      <c r="K37" s="120">
        <v>43283</v>
      </c>
      <c r="L37" s="121" t="s">
        <v>520</v>
      </c>
      <c r="M37" s="102"/>
      <c r="N37" s="102"/>
      <c r="P37" s="101">
        <v>31</v>
      </c>
      <c r="Q37" s="101">
        <v>31</v>
      </c>
      <c r="R37" s="122">
        <f t="shared" si="2"/>
        <v>1</v>
      </c>
      <c r="S37" s="102"/>
      <c r="T37" s="102" t="e">
        <f>IF(L37&lt;&gt;"",VLOOKUP(L37,Locataires!#REF!,4,0),"pas de Locataire")</f>
        <v>#REF!</v>
      </c>
      <c r="U37" s="102"/>
      <c r="X37" s="562">
        <v>2018</v>
      </c>
    </row>
    <row r="38" spans="1:24">
      <c r="A38" s="187" t="s">
        <v>139</v>
      </c>
      <c r="B38" s="102">
        <v>390</v>
      </c>
      <c r="C38" s="102">
        <v>70</v>
      </c>
      <c r="D38" s="118">
        <v>0</v>
      </c>
      <c r="E38" s="119"/>
      <c r="F38" s="118"/>
      <c r="G38" s="119"/>
      <c r="H38" s="16"/>
      <c r="I38" s="16"/>
      <c r="J38" s="15">
        <v>-460</v>
      </c>
      <c r="K38" s="120"/>
      <c r="L38" s="121" t="s">
        <v>520</v>
      </c>
      <c r="M38" s="102"/>
      <c r="N38" s="102"/>
      <c r="P38" s="101">
        <v>31</v>
      </c>
      <c r="Q38" s="101">
        <v>31</v>
      </c>
      <c r="R38" s="122">
        <f t="shared" si="2"/>
        <v>1</v>
      </c>
      <c r="S38" s="102"/>
      <c r="T38" s="102" t="e">
        <f>IF(L38&lt;&gt;"",VLOOKUP(L38,Locataires!#REF!,4,0),"pas de Locataire")</f>
        <v>#REF!</v>
      </c>
      <c r="U38" s="102"/>
      <c r="X38" s="562">
        <v>2018</v>
      </c>
    </row>
    <row r="39" spans="1:24">
      <c r="A39" s="187" t="s">
        <v>140</v>
      </c>
      <c r="B39" s="102">
        <v>390</v>
      </c>
      <c r="C39" s="102">
        <v>70</v>
      </c>
      <c r="D39" s="118">
        <v>0</v>
      </c>
      <c r="E39" s="119"/>
      <c r="F39" s="118"/>
      <c r="G39" s="119"/>
      <c r="H39" s="16"/>
      <c r="I39" s="16"/>
      <c r="J39" s="15">
        <v>-460</v>
      </c>
      <c r="K39" s="120"/>
      <c r="L39" s="121" t="s">
        <v>520</v>
      </c>
      <c r="M39" s="102"/>
      <c r="N39" s="102"/>
      <c r="P39" s="101">
        <v>30</v>
      </c>
      <c r="Q39" s="101">
        <v>30</v>
      </c>
      <c r="R39" s="122">
        <f t="shared" si="2"/>
        <v>1</v>
      </c>
      <c r="S39" s="102"/>
      <c r="T39" s="102" t="e">
        <f>IF(L39&lt;&gt;"",VLOOKUP(L39,Locataires!#REF!,4,0),"pas de Locataire")</f>
        <v>#REF!</v>
      </c>
      <c r="U39" s="102"/>
      <c r="X39" s="562">
        <v>2018</v>
      </c>
    </row>
    <row r="40" spans="1:24">
      <c r="A40" s="187" t="s">
        <v>141</v>
      </c>
      <c r="B40" s="102">
        <v>390</v>
      </c>
      <c r="C40" s="102">
        <v>70</v>
      </c>
      <c r="D40" s="118">
        <v>0</v>
      </c>
      <c r="E40" s="119"/>
      <c r="F40" s="118"/>
      <c r="G40" s="119"/>
      <c r="H40" s="16"/>
      <c r="I40" s="16"/>
      <c r="J40" s="15">
        <v>-460</v>
      </c>
      <c r="K40" s="120"/>
      <c r="L40" s="121" t="s">
        <v>520</v>
      </c>
      <c r="M40" s="102"/>
      <c r="N40" s="102"/>
      <c r="P40" s="101">
        <v>31</v>
      </c>
      <c r="Q40" s="101">
        <v>31</v>
      </c>
      <c r="R40" s="122">
        <f t="shared" si="2"/>
        <v>1</v>
      </c>
      <c r="S40" s="102"/>
      <c r="T40" s="102" t="e">
        <f>IF(L40&lt;&gt;"",VLOOKUP(L40,Locataires!#REF!,4,0),"pas de Locataire")</f>
        <v>#REF!</v>
      </c>
      <c r="U40" s="102"/>
      <c r="X40" s="562">
        <v>2018</v>
      </c>
    </row>
    <row r="41" spans="1:24">
      <c r="A41" s="188" t="s">
        <v>135</v>
      </c>
      <c r="B41" s="102">
        <v>390</v>
      </c>
      <c r="C41" s="102">
        <v>70</v>
      </c>
      <c r="D41" s="118">
        <v>0</v>
      </c>
      <c r="E41" s="119"/>
      <c r="F41" s="118"/>
      <c r="G41" s="119"/>
      <c r="H41" s="16"/>
      <c r="I41" s="16"/>
      <c r="J41" s="15">
        <v>-460</v>
      </c>
      <c r="K41" s="120"/>
      <c r="L41" s="121" t="s">
        <v>520</v>
      </c>
      <c r="M41" s="102"/>
      <c r="N41" s="102"/>
      <c r="P41" s="101">
        <v>30</v>
      </c>
      <c r="Q41" s="101">
        <v>30</v>
      </c>
      <c r="R41" s="122">
        <f t="shared" si="2"/>
        <v>1</v>
      </c>
      <c r="S41" s="102"/>
      <c r="T41" s="102" t="e">
        <f>IF(L41&lt;&gt;"",VLOOKUP(L41,Locataires!#REF!,4,0),"pas de Locataire")</f>
        <v>#REF!</v>
      </c>
      <c r="U41" s="102"/>
      <c r="W41" s="389"/>
      <c r="X41" s="562">
        <v>2018</v>
      </c>
    </row>
    <row r="42" spans="1:24">
      <c r="A42" s="188" t="s">
        <v>142</v>
      </c>
      <c r="B42" s="102">
        <v>390</v>
      </c>
      <c r="C42" s="102">
        <v>70</v>
      </c>
      <c r="D42" s="118">
        <v>0</v>
      </c>
      <c r="E42" s="119"/>
      <c r="F42" s="118"/>
      <c r="G42" s="119"/>
      <c r="H42" s="152"/>
      <c r="I42" s="152"/>
      <c r="J42" s="15">
        <v>-460</v>
      </c>
      <c r="K42" s="153"/>
      <c r="L42" s="389" t="s">
        <v>520</v>
      </c>
      <c r="M42" s="102"/>
      <c r="N42" s="102"/>
      <c r="P42" s="101">
        <v>31</v>
      </c>
      <c r="Q42" s="101">
        <v>31</v>
      </c>
      <c r="R42" s="122">
        <f t="shared" si="2"/>
        <v>1</v>
      </c>
      <c r="S42" s="102"/>
      <c r="T42" s="102" t="e">
        <f>IF(L42&lt;&gt;"",VLOOKUP(L42,Locataires!#REF!,4,0),"pas de Locataire")</f>
        <v>#REF!</v>
      </c>
      <c r="U42" s="102"/>
      <c r="W42" s="389"/>
      <c r="X42" s="562">
        <v>2018</v>
      </c>
    </row>
  </sheetData>
  <sheetProtection selectLockedCells="1" selectUnlockedCells="1"/>
  <mergeCells count="12">
    <mergeCell ref="Y5:AB5"/>
    <mergeCell ref="C2:D2"/>
    <mergeCell ref="E2:G2"/>
    <mergeCell ref="I2:J2"/>
    <mergeCell ref="C3:E3"/>
    <mergeCell ref="F3:G3"/>
    <mergeCell ref="I3:J3"/>
    <mergeCell ref="B5:C5"/>
    <mergeCell ref="D5:E5"/>
    <mergeCell ref="F5:G5"/>
    <mergeCell ref="P5:R5"/>
    <mergeCell ref="H5:I5"/>
  </mergeCells>
  <conditionalFormatting sqref="H7:I18 H20:I30">
    <cfRule type="cellIs" dxfId="24" priority="6" stopIfTrue="1" operator="greaterThan">
      <formula>0</formula>
    </cfRule>
  </conditionalFormatting>
  <conditionalFormatting sqref="J30">
    <cfRule type="cellIs" dxfId="23" priority="5" operator="lessThan">
      <formula>0</formula>
    </cfRule>
  </conditionalFormatting>
  <conditionalFormatting sqref="H31:I42">
    <cfRule type="cellIs" dxfId="22" priority="4" stopIfTrue="1" operator="greaterThan">
      <formula>0</formula>
    </cfRule>
  </conditionalFormatting>
  <conditionalFormatting sqref="J42">
    <cfRule type="cellIs" dxfId="21" priority="3" operator="lessThan">
      <formula>0</formula>
    </cfRule>
  </conditionalFormatting>
  <conditionalFormatting sqref="J18">
    <cfRule type="cellIs" dxfId="20" priority="2" operator="lessThan">
      <formula>0</formula>
    </cfRule>
  </conditionalFormatting>
  <conditionalFormatting sqref="H19:I19">
    <cfRule type="cellIs" dxfId="19" priority="1" stopIfTrue="1" operator="greaterThan">
      <formula>0</formula>
    </cfRule>
  </conditionalFormatting>
  <dataValidations disablePrompts="1" count="1">
    <dataValidation type="list" allowBlank="1" showInputMessage="1" showErrorMessage="1" sqref="U7 U31 S7:S42">
      <formula1>Oui_Non</formula1>
    </dataValidation>
  </dataValidations>
  <pageMargins left="0.7" right="0.7" top="0.75" bottom="0.75" header="0.51180555555555551" footer="0.51180555555555551"/>
  <pageSetup paperSize="9" firstPageNumber="0" orientation="portrait" horizontalDpi="300" verticalDpi="300"/>
  <headerFooter alignWithMargins="0"/>
  <legacyDrawing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AB30"/>
  <sheetViews>
    <sheetView workbookViewId="0">
      <selection activeCell="I29" sqref="I29"/>
    </sheetView>
  </sheetViews>
  <sheetFormatPr baseColWidth="10" defaultRowHeight="12.75"/>
  <cols>
    <col min="1" max="1" width="12.28515625" customWidth="1"/>
    <col min="4" max="4" width="10.5703125" customWidth="1"/>
    <col min="5" max="6" width="9.5703125" customWidth="1"/>
    <col min="7" max="8" width="10.5703125" customWidth="1"/>
    <col min="10" max="10" width="14.28515625" customWidth="1"/>
    <col min="11" max="11" width="25.42578125" customWidth="1"/>
    <col min="13" max="13" width="24.140625" customWidth="1"/>
    <col min="14" max="14" width="7.85546875" customWidth="1"/>
    <col min="15" max="15" width="3.5703125" customWidth="1"/>
    <col min="16" max="16" width="3.85546875" customWidth="1"/>
    <col min="17" max="17" width="5.140625" customWidth="1"/>
    <col min="18" max="20" width="8.140625" customWidth="1"/>
  </cols>
  <sheetData>
    <row r="1" spans="1:28">
      <c r="A1" s="1" t="s">
        <v>46</v>
      </c>
    </row>
    <row r="2" spans="1:28" ht="15">
      <c r="B2" s="2" t="s">
        <v>0</v>
      </c>
      <c r="C2" s="781" t="s">
        <v>1</v>
      </c>
      <c r="D2" s="781"/>
      <c r="E2" s="781" t="s">
        <v>2</v>
      </c>
      <c r="F2" s="781"/>
      <c r="G2" s="781"/>
      <c r="H2" s="68"/>
      <c r="I2" s="782" t="s">
        <v>3</v>
      </c>
      <c r="J2" s="782"/>
      <c r="K2" s="3" t="s">
        <v>4</v>
      </c>
    </row>
    <row r="3" spans="1:28" ht="22.5">
      <c r="B3" s="2" t="s">
        <v>5</v>
      </c>
      <c r="C3" s="783" t="s">
        <v>43</v>
      </c>
      <c r="D3" s="783"/>
      <c r="E3" s="783"/>
      <c r="F3" s="784" t="s">
        <v>55</v>
      </c>
      <c r="G3" s="784"/>
      <c r="H3" s="69"/>
      <c r="I3" s="785" t="s">
        <v>8</v>
      </c>
      <c r="J3" s="785"/>
      <c r="K3" s="4"/>
      <c r="N3" s="67" t="s">
        <v>52</v>
      </c>
      <c r="O3" s="12">
        <v>4</v>
      </c>
    </row>
    <row r="4" spans="1:28" ht="15">
      <c r="C4" s="5"/>
      <c r="D4" s="5"/>
      <c r="E4" s="5"/>
      <c r="F4" s="5"/>
      <c r="G4" s="5"/>
      <c r="H4" s="5"/>
      <c r="I4" s="6"/>
      <c r="J4" s="5"/>
      <c r="K4" s="7"/>
    </row>
    <row r="5" spans="1:28" s="12" customFormat="1" ht="56.25">
      <c r="A5" s="8"/>
      <c r="B5" s="787" t="s">
        <v>9</v>
      </c>
      <c r="C5" s="787"/>
      <c r="D5" s="788" t="s">
        <v>10</v>
      </c>
      <c r="E5" s="788"/>
      <c r="F5" s="789" t="s">
        <v>11</v>
      </c>
      <c r="G5" s="789"/>
      <c r="H5" s="790" t="s">
        <v>53</v>
      </c>
      <c r="I5" s="791"/>
      <c r="J5" s="9" t="s">
        <v>12</v>
      </c>
      <c r="K5" s="10" t="s">
        <v>13</v>
      </c>
      <c r="L5" s="8" t="s">
        <v>11</v>
      </c>
      <c r="M5" s="11" t="s">
        <v>14</v>
      </c>
      <c r="N5" s="11" t="s">
        <v>54</v>
      </c>
      <c r="O5" s="67" t="s">
        <v>52</v>
      </c>
      <c r="P5" s="672" t="s">
        <v>62</v>
      </c>
      <c r="Q5" s="672"/>
      <c r="R5" s="667"/>
      <c r="S5" s="77" t="s">
        <v>64</v>
      </c>
      <c r="T5" s="77" t="s">
        <v>64</v>
      </c>
      <c r="U5" s="77" t="s">
        <v>64</v>
      </c>
      <c r="Y5" s="793" t="s">
        <v>629</v>
      </c>
      <c r="Z5" s="793"/>
      <c r="AA5" s="793"/>
      <c r="AB5" s="793"/>
    </row>
    <row r="6" spans="1:28">
      <c r="A6">
        <v>2017</v>
      </c>
      <c r="B6" s="13" t="s">
        <v>9</v>
      </c>
      <c r="C6" s="13" t="s">
        <v>15</v>
      </c>
      <c r="D6" s="13" t="s">
        <v>16</v>
      </c>
      <c r="E6" s="13" t="s">
        <v>17</v>
      </c>
      <c r="F6" s="13" t="s">
        <v>16</v>
      </c>
      <c r="G6" s="13" t="s">
        <v>17</v>
      </c>
      <c r="H6" s="155" t="s">
        <v>16</v>
      </c>
      <c r="I6" s="155" t="s">
        <v>119</v>
      </c>
      <c r="K6" s="98"/>
      <c r="O6" s="299">
        <v>2</v>
      </c>
      <c r="R6" s="299" t="s">
        <v>63</v>
      </c>
      <c r="S6" s="299"/>
      <c r="Y6" s="474" t="s">
        <v>630</v>
      </c>
      <c r="Z6" s="474" t="s">
        <v>631</v>
      </c>
      <c r="AA6" s="474" t="s">
        <v>632</v>
      </c>
      <c r="AB6" s="474"/>
    </row>
    <row r="7" spans="1:28" ht="12" customHeight="1">
      <c r="A7" s="187" t="s">
        <v>131</v>
      </c>
      <c r="B7">
        <v>720</v>
      </c>
      <c r="C7">
        <v>130</v>
      </c>
      <c r="D7" s="15"/>
      <c r="E7" s="16"/>
      <c r="F7" s="15">
        <v>850</v>
      </c>
      <c r="G7" s="16">
        <v>42738</v>
      </c>
      <c r="H7" s="15"/>
      <c r="I7" s="15"/>
      <c r="J7">
        <v>0</v>
      </c>
      <c r="K7" s="98"/>
      <c r="L7" s="145"/>
      <c r="M7" s="98"/>
      <c r="P7" s="65">
        <v>31</v>
      </c>
      <c r="Q7" s="65">
        <v>31</v>
      </c>
      <c r="R7" s="75">
        <f>P7/Q7</f>
        <v>1</v>
      </c>
      <c r="S7" s="76" t="s">
        <v>99</v>
      </c>
      <c r="T7" t="str">
        <f>IF(L6&lt;&gt;"",VLOOKUP(L7,Locataires!C5:L8,4,0),"pas de Locataire")</f>
        <v>pas de Locataire</v>
      </c>
      <c r="U7" s="76" t="str">
        <f>IF(L7&lt;&gt;"",VLOOKUP(L7,Locataires!C5:L8,5,0),"?")</f>
        <v>?</v>
      </c>
      <c r="V7" s="142">
        <v>42739</v>
      </c>
      <c r="W7" s="142">
        <v>42739</v>
      </c>
      <c r="X7" s="559">
        <v>2017</v>
      </c>
    </row>
    <row r="8" spans="1:28" ht="12" customHeight="1">
      <c r="A8" s="187" t="s">
        <v>147</v>
      </c>
      <c r="B8">
        <v>720</v>
      </c>
      <c r="C8">
        <v>130</v>
      </c>
      <c r="D8" s="15"/>
      <c r="E8" s="16"/>
      <c r="F8" s="15">
        <v>850</v>
      </c>
      <c r="G8" s="16">
        <v>42737</v>
      </c>
      <c r="H8" s="15"/>
      <c r="I8" s="15"/>
      <c r="J8">
        <v>0</v>
      </c>
      <c r="K8" s="98"/>
      <c r="L8" s="145"/>
      <c r="M8" s="98"/>
      <c r="P8" s="65">
        <v>28</v>
      </c>
      <c r="Q8" s="65">
        <v>28</v>
      </c>
      <c r="R8" s="75">
        <f t="shared" ref="R8:R18" si="0">P8/Q8</f>
        <v>1</v>
      </c>
      <c r="S8" s="76" t="s">
        <v>99</v>
      </c>
      <c r="T8" t="str">
        <f>IF(L8&lt;&gt;"",VLOOKUP(L8,Locataires!C6:L8,4,0),"")</f>
        <v/>
      </c>
      <c r="U8" s="76" t="str">
        <f>IF(L8&lt;&gt;"",VLOOKUP(L8,Locataires!C6:L8,5,0),"?")</f>
        <v>?</v>
      </c>
      <c r="V8" s="198">
        <v>42768.714479166665</v>
      </c>
      <c r="X8" s="559">
        <v>2017</v>
      </c>
    </row>
    <row r="9" spans="1:28" ht="12" customHeight="1">
      <c r="A9" s="187" t="s">
        <v>134</v>
      </c>
      <c r="B9">
        <v>720</v>
      </c>
      <c r="C9">
        <v>130</v>
      </c>
      <c r="D9" s="15"/>
      <c r="E9" s="16"/>
      <c r="F9" s="15">
        <v>850</v>
      </c>
      <c r="G9" s="16">
        <v>42796</v>
      </c>
      <c r="H9" s="15"/>
      <c r="I9" s="15"/>
      <c r="J9">
        <v>0</v>
      </c>
      <c r="K9" s="98">
        <v>42797</v>
      </c>
      <c r="M9" s="98"/>
      <c r="P9" s="65">
        <v>31</v>
      </c>
      <c r="Q9" s="65">
        <v>31</v>
      </c>
      <c r="R9" s="75">
        <f t="shared" si="0"/>
        <v>1</v>
      </c>
      <c r="S9" s="76" t="s">
        <v>99</v>
      </c>
      <c r="T9" t="str">
        <f>IF(L9&lt;&gt;"",VLOOKUP(L9,Locataires!C7:L8,4,0),"")</f>
        <v/>
      </c>
      <c r="U9" s="76" t="str">
        <f>IF(L9&lt;&gt;"",VLOOKUP(L9,Locataires!C7:L8,5,0),"?")</f>
        <v>?</v>
      </c>
      <c r="V9" s="298" t="s">
        <v>116</v>
      </c>
      <c r="X9" s="559">
        <v>2017</v>
      </c>
    </row>
    <row r="10" spans="1:28" ht="12" customHeight="1">
      <c r="A10" s="187" t="s">
        <v>132</v>
      </c>
      <c r="B10">
        <v>720</v>
      </c>
      <c r="C10">
        <v>130</v>
      </c>
      <c r="D10" s="15"/>
      <c r="E10" s="16"/>
      <c r="F10" s="15">
        <v>850</v>
      </c>
      <c r="G10" s="16">
        <v>42829</v>
      </c>
      <c r="H10" s="15"/>
      <c r="I10" s="15"/>
      <c r="J10">
        <v>0</v>
      </c>
      <c r="K10" s="98">
        <v>42829</v>
      </c>
      <c r="M10" s="98"/>
      <c r="P10" s="65">
        <v>30</v>
      </c>
      <c r="Q10" s="65">
        <v>30</v>
      </c>
      <c r="R10" s="75">
        <f t="shared" si="0"/>
        <v>1</v>
      </c>
      <c r="S10" s="76" t="s">
        <v>99</v>
      </c>
      <c r="T10" t="str">
        <f>IF(L10&lt;&gt;"",VLOOKUP(L10,Locataires!C8:L8,4,0),"")</f>
        <v/>
      </c>
      <c r="U10" s="76" t="str">
        <f>IF(L10&lt;&gt;"",VLOOKUP(L10,Locataires!C8:L8,5,0),"?")</f>
        <v>?</v>
      </c>
      <c r="V10" s="298" t="s">
        <v>116</v>
      </c>
      <c r="X10" s="559">
        <v>2017</v>
      </c>
    </row>
    <row r="11" spans="1:28" ht="12" customHeight="1">
      <c r="A11" s="187" t="s">
        <v>136</v>
      </c>
      <c r="B11">
        <v>720</v>
      </c>
      <c r="C11">
        <v>130</v>
      </c>
      <c r="D11" s="15"/>
      <c r="E11" s="16"/>
      <c r="F11" s="15">
        <v>850</v>
      </c>
      <c r="G11" s="16">
        <v>42858</v>
      </c>
      <c r="H11" s="15"/>
      <c r="I11" s="15"/>
      <c r="J11">
        <v>0</v>
      </c>
      <c r="K11" s="98">
        <v>42859</v>
      </c>
      <c r="M11" s="98"/>
      <c r="N11" t="s">
        <v>25</v>
      </c>
      <c r="P11" s="65">
        <v>31</v>
      </c>
      <c r="Q11" s="65">
        <v>31</v>
      </c>
      <c r="R11" s="75">
        <f t="shared" si="0"/>
        <v>1</v>
      </c>
      <c r="S11" s="76" t="s">
        <v>99</v>
      </c>
      <c r="T11" t="str">
        <f>IF(L11&lt;&gt;"",VLOOKUP(L11,Locataires!#REF!,4,0),"")</f>
        <v/>
      </c>
      <c r="U11" s="76" t="str">
        <f>IF(L11&lt;&gt;"",VLOOKUP(L11,Locataires!#REF!,5,0),"?")</f>
        <v>?</v>
      </c>
      <c r="V11" s="298" t="s">
        <v>116</v>
      </c>
      <c r="X11" s="559">
        <v>2017</v>
      </c>
    </row>
    <row r="12" spans="1:28" ht="12" customHeight="1">
      <c r="A12" s="187" t="s">
        <v>137</v>
      </c>
      <c r="B12">
        <v>720</v>
      </c>
      <c r="C12">
        <v>130</v>
      </c>
      <c r="D12" s="15"/>
      <c r="E12" s="16"/>
      <c r="F12" s="15">
        <v>850</v>
      </c>
      <c r="G12" s="16">
        <v>42888</v>
      </c>
      <c r="H12" s="15"/>
      <c r="I12" s="15"/>
      <c r="J12">
        <v>0</v>
      </c>
      <c r="K12" s="98">
        <v>42892</v>
      </c>
      <c r="M12" s="98"/>
      <c r="N12" t="s">
        <v>636</v>
      </c>
      <c r="P12" s="65">
        <v>30</v>
      </c>
      <c r="Q12" s="65">
        <v>30</v>
      </c>
      <c r="R12" s="75">
        <f t="shared" si="0"/>
        <v>1</v>
      </c>
      <c r="S12" s="76" t="s">
        <v>99</v>
      </c>
      <c r="T12" t="str">
        <f>IF(L12&lt;&gt;"",VLOOKUP(L12,Locataires!#REF!,4,0),"")</f>
        <v/>
      </c>
      <c r="U12" s="76" t="str">
        <f>IF(L12&lt;&gt;"",VLOOKUP(L12,Locataires!#REF!,5,0),"?")</f>
        <v>?</v>
      </c>
      <c r="V12" s="298" t="s">
        <v>116</v>
      </c>
      <c r="X12" s="559">
        <v>2017</v>
      </c>
    </row>
    <row r="13" spans="1:28" ht="12" customHeight="1">
      <c r="A13" s="187" t="s">
        <v>138</v>
      </c>
      <c r="B13">
        <v>720</v>
      </c>
      <c r="C13">
        <v>130</v>
      </c>
      <c r="D13" s="15"/>
      <c r="E13" s="16"/>
      <c r="F13" s="15">
        <v>0</v>
      </c>
      <c r="G13" s="16"/>
      <c r="H13" s="15"/>
      <c r="I13" s="15"/>
      <c r="J13">
        <v>-850</v>
      </c>
      <c r="K13" s="98"/>
      <c r="M13" s="98"/>
      <c r="N13" t="s">
        <v>718</v>
      </c>
      <c r="P13" s="65">
        <v>31</v>
      </c>
      <c r="Q13" s="65">
        <v>31</v>
      </c>
      <c r="R13" s="75">
        <f t="shared" si="0"/>
        <v>1</v>
      </c>
      <c r="S13" s="76" t="s">
        <v>99</v>
      </c>
      <c r="T13" t="str">
        <f>IF(L13&lt;&gt;"",VLOOKUP(L13,Locataires!#REF!,4,0),"")</f>
        <v/>
      </c>
      <c r="U13" s="76" t="str">
        <f>IF(L13&lt;&gt;"",VLOOKUP(L13,Locataires!#REF!,5,0),"?")</f>
        <v>?</v>
      </c>
      <c r="V13" s="298" t="s">
        <v>116</v>
      </c>
      <c r="X13" s="559">
        <v>2017</v>
      </c>
    </row>
    <row r="14" spans="1:28" ht="12" customHeight="1">
      <c r="A14" s="187" t="s">
        <v>139</v>
      </c>
      <c r="B14">
        <v>740</v>
      </c>
      <c r="C14">
        <v>130</v>
      </c>
      <c r="D14" s="15"/>
      <c r="E14" s="16"/>
      <c r="F14" s="15">
        <v>680</v>
      </c>
      <c r="G14" s="16">
        <v>42956</v>
      </c>
      <c r="H14" s="15">
        <v>190</v>
      </c>
      <c r="I14" s="15" t="s">
        <v>598</v>
      </c>
      <c r="J14">
        <v>0</v>
      </c>
      <c r="K14" s="98">
        <v>42956</v>
      </c>
      <c r="M14" s="98"/>
      <c r="N14" t="s">
        <v>25</v>
      </c>
      <c r="P14" s="65">
        <v>31</v>
      </c>
      <c r="Q14" s="65">
        <v>31</v>
      </c>
      <c r="R14" s="75">
        <f t="shared" si="0"/>
        <v>1</v>
      </c>
      <c r="S14" s="76" t="s">
        <v>99</v>
      </c>
      <c r="T14" t="str">
        <f>IF(L14&lt;&gt;"",VLOOKUP(L14,Locataires!#REF!,4,0),"")</f>
        <v/>
      </c>
      <c r="U14" s="76" t="str">
        <f>IF(L14&lt;&gt;"",VLOOKUP(L14,Locataires!#REF!,5,0),"?")</f>
        <v>?</v>
      </c>
      <c r="V14" s="298" t="s">
        <v>116</v>
      </c>
      <c r="X14" s="559">
        <v>2017</v>
      </c>
    </row>
    <row r="15" spans="1:28" ht="12" customHeight="1">
      <c r="A15" s="187" t="s">
        <v>140</v>
      </c>
      <c r="B15">
        <v>740</v>
      </c>
      <c r="C15">
        <v>130</v>
      </c>
      <c r="D15" s="15"/>
      <c r="E15" s="16"/>
      <c r="F15" s="15">
        <v>301</v>
      </c>
      <c r="G15" s="16">
        <v>42979</v>
      </c>
      <c r="H15" s="15"/>
      <c r="I15" s="15"/>
      <c r="J15">
        <v>-569</v>
      </c>
      <c r="K15" s="98">
        <v>42981</v>
      </c>
      <c r="M15" s="98"/>
      <c r="N15" t="s">
        <v>25</v>
      </c>
      <c r="P15" s="65">
        <v>30</v>
      </c>
      <c r="Q15" s="65">
        <v>30</v>
      </c>
      <c r="R15" s="75">
        <f t="shared" si="0"/>
        <v>1</v>
      </c>
      <c r="S15" s="76" t="s">
        <v>99</v>
      </c>
      <c r="T15" t="str">
        <f>IF(L15&lt;&gt;"",VLOOKUP(L15,Locataires!#REF!,4,0),"")</f>
        <v/>
      </c>
      <c r="U15" s="76" t="str">
        <f>IF(L15&lt;&gt;"",VLOOKUP(L15,Locataires!#REF!,5,0),"?")</f>
        <v>?</v>
      </c>
      <c r="V15" s="298" t="s">
        <v>116</v>
      </c>
      <c r="X15" s="559">
        <v>2017</v>
      </c>
    </row>
    <row r="16" spans="1:28" ht="12" customHeight="1">
      <c r="A16" s="187" t="s">
        <v>141</v>
      </c>
      <c r="B16">
        <v>740</v>
      </c>
      <c r="C16">
        <v>130</v>
      </c>
      <c r="D16" s="15"/>
      <c r="E16" s="16"/>
      <c r="F16" s="15">
        <v>0</v>
      </c>
      <c r="G16" s="16"/>
      <c r="H16" s="15"/>
      <c r="I16" s="15"/>
      <c r="J16">
        <v>-870</v>
      </c>
      <c r="K16" s="98"/>
      <c r="M16" s="98"/>
      <c r="N16" t="s">
        <v>25</v>
      </c>
      <c r="P16" s="65">
        <v>31</v>
      </c>
      <c r="Q16" s="65">
        <v>31</v>
      </c>
      <c r="R16" s="75">
        <f t="shared" si="0"/>
        <v>1</v>
      </c>
      <c r="S16" s="76" t="s">
        <v>99</v>
      </c>
      <c r="T16" t="str">
        <f>IF(L16&lt;&gt;"",VLOOKUP(L16,Locataires!#REF!,4,0),"")</f>
        <v/>
      </c>
      <c r="U16" s="76" t="str">
        <f>IF(L16&lt;&gt;"",VLOOKUP(L16,Locataires!#REF!,5,0),"?")</f>
        <v>?</v>
      </c>
      <c r="V16" s="298" t="s">
        <v>116</v>
      </c>
      <c r="X16" s="559">
        <v>2017</v>
      </c>
    </row>
    <row r="17" spans="1:24" ht="12" customHeight="1">
      <c r="A17" s="188" t="s">
        <v>135</v>
      </c>
      <c r="B17" s="300">
        <v>740</v>
      </c>
      <c r="C17" s="300">
        <v>130</v>
      </c>
      <c r="D17" s="126"/>
      <c r="E17" s="127"/>
      <c r="F17" s="126">
        <v>0</v>
      </c>
      <c r="G17" s="16"/>
      <c r="H17" s="126"/>
      <c r="I17" s="126"/>
      <c r="J17">
        <v>-870</v>
      </c>
      <c r="K17" s="128"/>
      <c r="L17" s="145"/>
      <c r="M17" s="300"/>
      <c r="N17" s="300" t="s">
        <v>25</v>
      </c>
      <c r="O17" s="300"/>
      <c r="P17" s="130">
        <v>30</v>
      </c>
      <c r="Q17" s="130">
        <v>30</v>
      </c>
      <c r="R17" s="131">
        <f t="shared" si="0"/>
        <v>1</v>
      </c>
      <c r="S17" s="76" t="s">
        <v>99</v>
      </c>
      <c r="T17" t="str">
        <f>IF(L17&lt;&gt;"",VLOOKUP(L17,Locataires!#REF!,4,0),"")</f>
        <v/>
      </c>
      <c r="U17" s="76" t="str">
        <f>IF(L17&lt;&gt;"",VLOOKUP(L17,Locataires!#REF!,5,0),"?")</f>
        <v>?</v>
      </c>
      <c r="V17" s="298" t="s">
        <v>116</v>
      </c>
      <c r="X17" s="559">
        <v>2017</v>
      </c>
    </row>
    <row r="18" spans="1:24" ht="12" customHeight="1">
      <c r="A18" s="188" t="s">
        <v>142</v>
      </c>
      <c r="B18" s="300">
        <v>740</v>
      </c>
      <c r="C18" s="300">
        <v>130</v>
      </c>
      <c r="D18" s="126"/>
      <c r="E18" s="127"/>
      <c r="F18" s="126">
        <v>0</v>
      </c>
      <c r="G18" s="16"/>
      <c r="H18" s="126"/>
      <c r="I18" s="126"/>
      <c r="J18">
        <v>-870</v>
      </c>
      <c r="K18" s="128"/>
      <c r="L18" s="129"/>
      <c r="M18" s="128"/>
      <c r="N18" s="300" t="s">
        <v>637</v>
      </c>
      <c r="O18" s="300"/>
      <c r="P18" s="130">
        <v>31</v>
      </c>
      <c r="Q18" s="130">
        <v>31</v>
      </c>
      <c r="R18" s="131">
        <f t="shared" si="0"/>
        <v>1</v>
      </c>
      <c r="S18" s="76" t="s">
        <v>99</v>
      </c>
      <c r="T18" t="str">
        <f>IF(L18&lt;&gt;"",VLOOKUP(L18,Locataires!#REF!,4,0),"")</f>
        <v/>
      </c>
      <c r="U18" s="76" t="str">
        <f>IF(L18&lt;&gt;"",VLOOKUP(L18,Locataires!#REF!,5,0),"?")</f>
        <v>?</v>
      </c>
      <c r="V18" s="298" t="s">
        <v>116</v>
      </c>
      <c r="X18" s="559">
        <v>2017</v>
      </c>
    </row>
    <row r="19" spans="1:24" s="509" customFormat="1" ht="12" customHeight="1">
      <c r="A19" s="187" t="s">
        <v>131</v>
      </c>
      <c r="B19" s="509">
        <v>0</v>
      </c>
      <c r="C19" s="509">
        <v>0</v>
      </c>
      <c r="D19" s="15"/>
      <c r="E19" s="16"/>
      <c r="F19" s="15"/>
      <c r="G19" s="16"/>
      <c r="H19" s="15"/>
      <c r="I19" s="15"/>
      <c r="J19" s="509">
        <v>0</v>
      </c>
      <c r="K19" s="98"/>
      <c r="L19" s="145" t="s">
        <v>507</v>
      </c>
      <c r="M19" s="98"/>
      <c r="P19" s="65">
        <v>31</v>
      </c>
      <c r="Q19" s="65">
        <v>31</v>
      </c>
      <c r="R19" s="75">
        <f>P19/Q19</f>
        <v>1</v>
      </c>
      <c r="S19" s="76" t="s">
        <v>99</v>
      </c>
      <c r="T19" s="509" t="str">
        <f>IF(L18&lt;&gt;"",VLOOKUP(L19,Locataires!C17:L19,4,0),"pas de Locataire")</f>
        <v>pas de Locataire</v>
      </c>
      <c r="U19" s="76" t="e">
        <f>IF(L19&lt;&gt;"",VLOOKUP(L19,Locataires!C17:L19,5,0),"?")</f>
        <v>#N/A</v>
      </c>
      <c r="V19" s="142">
        <v>42739</v>
      </c>
      <c r="W19" s="142">
        <v>42739</v>
      </c>
      <c r="X19" s="387">
        <v>2018</v>
      </c>
    </row>
    <row r="20" spans="1:24" s="509" customFormat="1" ht="12" customHeight="1">
      <c r="A20" s="187" t="s">
        <v>147</v>
      </c>
      <c r="B20" s="509">
        <v>0</v>
      </c>
      <c r="C20" s="509">
        <v>0</v>
      </c>
      <c r="D20" s="15"/>
      <c r="E20" s="16"/>
      <c r="F20" s="15"/>
      <c r="G20" s="16"/>
      <c r="H20" s="15"/>
      <c r="I20" s="15"/>
      <c r="J20" s="509">
        <v>0</v>
      </c>
      <c r="K20" s="98"/>
      <c r="L20" s="145" t="s">
        <v>507</v>
      </c>
      <c r="M20" s="98"/>
      <c r="P20" s="65">
        <v>28</v>
      </c>
      <c r="Q20" s="65">
        <v>28</v>
      </c>
      <c r="R20" s="75">
        <f t="shared" ref="R20:R30" si="1">P20/Q20</f>
        <v>1</v>
      </c>
      <c r="S20" s="76" t="s">
        <v>99</v>
      </c>
      <c r="T20" s="509" t="e">
        <f>IF(L20&lt;&gt;"",VLOOKUP(L20,Locataires!C18:L19,4,0),"")</f>
        <v>#N/A</v>
      </c>
      <c r="U20" s="76" t="e">
        <f>IF(L20&lt;&gt;"",VLOOKUP(L20,Locataires!C18:L19,5,0),"?")</f>
        <v>#N/A</v>
      </c>
      <c r="V20" s="198">
        <v>42768.714479166665</v>
      </c>
      <c r="X20" s="387">
        <v>2018</v>
      </c>
    </row>
    <row r="21" spans="1:24" s="509" customFormat="1" ht="12" customHeight="1">
      <c r="A21" s="187" t="s">
        <v>134</v>
      </c>
      <c r="B21" s="509">
        <v>0</v>
      </c>
      <c r="C21" s="509">
        <v>0</v>
      </c>
      <c r="D21" s="15"/>
      <c r="E21" s="16"/>
      <c r="F21" s="15"/>
      <c r="G21" s="16"/>
      <c r="H21" s="15"/>
      <c r="I21" s="15"/>
      <c r="J21" s="509">
        <v>0</v>
      </c>
      <c r="K21" s="98"/>
      <c r="L21" s="509" t="s">
        <v>507</v>
      </c>
      <c r="M21" s="98"/>
      <c r="P21" s="65">
        <v>31</v>
      </c>
      <c r="Q21" s="65">
        <v>31</v>
      </c>
      <c r="R21" s="75">
        <f t="shared" si="1"/>
        <v>1</v>
      </c>
      <c r="S21" s="76" t="s">
        <v>99</v>
      </c>
      <c r="T21" s="509" t="e">
        <f>IF(L21&lt;&gt;"",VLOOKUP(L21,Locataires!C19:L19,4,0),"")</f>
        <v>#N/A</v>
      </c>
      <c r="U21" s="76" t="e">
        <f>IF(L21&lt;&gt;"",VLOOKUP(L21,Locataires!C19:L19,5,0),"?")</f>
        <v>#N/A</v>
      </c>
      <c r="V21" s="558" t="s">
        <v>116</v>
      </c>
      <c r="X21" s="387">
        <v>2018</v>
      </c>
    </row>
    <row r="22" spans="1:24" s="509" customFormat="1" ht="12" customHeight="1">
      <c r="A22" s="187" t="s">
        <v>132</v>
      </c>
      <c r="B22" s="509">
        <v>0</v>
      </c>
      <c r="C22" s="509">
        <v>0</v>
      </c>
      <c r="D22" s="15"/>
      <c r="E22" s="16"/>
      <c r="F22" s="15"/>
      <c r="G22" s="16"/>
      <c r="H22" s="15"/>
      <c r="I22" s="15"/>
      <c r="J22" s="509">
        <v>0</v>
      </c>
      <c r="K22" s="98"/>
      <c r="L22" s="509" t="s">
        <v>507</v>
      </c>
      <c r="M22" s="98"/>
      <c r="P22" s="65">
        <v>30</v>
      </c>
      <c r="Q22" s="65">
        <v>30</v>
      </c>
      <c r="R22" s="75">
        <f t="shared" si="1"/>
        <v>1</v>
      </c>
      <c r="S22" s="76" t="s">
        <v>99</v>
      </c>
      <c r="T22" s="509" t="e">
        <f>IF(L22&lt;&gt;"",VLOOKUP(L22,Locataires!C19:L19,4,0),"")</f>
        <v>#N/A</v>
      </c>
      <c r="U22" s="76" t="e">
        <f>IF(L22&lt;&gt;"",VLOOKUP(L22,Locataires!C19:L19,5,0),"?")</f>
        <v>#N/A</v>
      </c>
      <c r="V22" s="558" t="s">
        <v>116</v>
      </c>
      <c r="X22" s="387">
        <v>2018</v>
      </c>
    </row>
    <row r="23" spans="1:24" s="509" customFormat="1" ht="12" customHeight="1">
      <c r="A23" s="187" t="s">
        <v>136</v>
      </c>
      <c r="B23" s="509">
        <v>0</v>
      </c>
      <c r="C23" s="509">
        <v>0</v>
      </c>
      <c r="D23" s="15"/>
      <c r="E23" s="16"/>
      <c r="F23" s="15"/>
      <c r="G23" s="16"/>
      <c r="H23" s="15"/>
      <c r="I23" s="15"/>
      <c r="J23" s="509">
        <v>0</v>
      </c>
      <c r="K23" s="98"/>
      <c r="L23" s="509" t="s">
        <v>507</v>
      </c>
      <c r="M23" s="98"/>
      <c r="N23" s="509" t="s">
        <v>25</v>
      </c>
      <c r="P23" s="65">
        <v>31</v>
      </c>
      <c r="Q23" s="65">
        <v>31</v>
      </c>
      <c r="R23" s="75">
        <f t="shared" si="1"/>
        <v>1</v>
      </c>
      <c r="S23" s="76" t="s">
        <v>99</v>
      </c>
      <c r="T23" s="509" t="e">
        <f>IF(L23&lt;&gt;"",VLOOKUP(L23,Locataires!#REF!,4,0),"")</f>
        <v>#REF!</v>
      </c>
      <c r="U23" s="76" t="e">
        <f>IF(L23&lt;&gt;"",VLOOKUP(L23,Locataires!#REF!,5,0),"?")</f>
        <v>#REF!</v>
      </c>
      <c r="V23" s="558" t="s">
        <v>116</v>
      </c>
      <c r="X23" s="387">
        <v>2018</v>
      </c>
    </row>
    <row r="24" spans="1:24" s="509" customFormat="1" ht="12" customHeight="1">
      <c r="A24" s="187" t="s">
        <v>137</v>
      </c>
      <c r="B24" s="509">
        <v>0</v>
      </c>
      <c r="C24" s="509">
        <v>0</v>
      </c>
      <c r="D24" s="15"/>
      <c r="E24" s="16"/>
      <c r="F24" s="15"/>
      <c r="G24" s="16"/>
      <c r="H24" s="15"/>
      <c r="I24" s="15"/>
      <c r="J24" s="509">
        <v>0</v>
      </c>
      <c r="K24" s="98"/>
      <c r="L24" s="509" t="s">
        <v>507</v>
      </c>
      <c r="M24" s="98"/>
      <c r="P24" s="65">
        <v>30</v>
      </c>
      <c r="Q24" s="65">
        <v>30</v>
      </c>
      <c r="R24" s="75">
        <f t="shared" si="1"/>
        <v>1</v>
      </c>
      <c r="S24" s="76" t="s">
        <v>99</v>
      </c>
      <c r="T24" s="509" t="e">
        <f>IF(L24&lt;&gt;"",VLOOKUP(L24,Locataires!#REF!,4,0),"")</f>
        <v>#REF!</v>
      </c>
      <c r="U24" s="76" t="e">
        <f>IF(L24&lt;&gt;"",VLOOKUP(L24,Locataires!#REF!,5,0),"?")</f>
        <v>#REF!</v>
      </c>
      <c r="V24" s="558" t="s">
        <v>116</v>
      </c>
      <c r="X24" s="387">
        <v>2018</v>
      </c>
    </row>
    <row r="25" spans="1:24" s="509" customFormat="1" ht="12" customHeight="1">
      <c r="A25" s="187" t="s">
        <v>138</v>
      </c>
      <c r="B25" s="509">
        <v>0</v>
      </c>
      <c r="C25" s="509">
        <v>0</v>
      </c>
      <c r="D25" s="15"/>
      <c r="E25" s="16"/>
      <c r="F25" s="15"/>
      <c r="G25" s="16"/>
      <c r="H25" s="15"/>
      <c r="I25" s="15"/>
      <c r="J25" s="509">
        <v>0</v>
      </c>
      <c r="K25" s="98"/>
      <c r="L25" s="509" t="s">
        <v>507</v>
      </c>
      <c r="M25" s="98"/>
      <c r="P25" s="65">
        <v>31</v>
      </c>
      <c r="Q25" s="65">
        <v>31</v>
      </c>
      <c r="R25" s="75">
        <f t="shared" si="1"/>
        <v>1</v>
      </c>
      <c r="S25" s="76" t="s">
        <v>99</v>
      </c>
      <c r="T25" s="509" t="e">
        <f>IF(L25&lt;&gt;"",VLOOKUP(L25,Locataires!#REF!,4,0),"")</f>
        <v>#REF!</v>
      </c>
      <c r="U25" s="76" t="e">
        <f>IF(L25&lt;&gt;"",VLOOKUP(L25,Locataires!#REF!,5,0),"?")</f>
        <v>#REF!</v>
      </c>
      <c r="V25" s="558" t="s">
        <v>116</v>
      </c>
      <c r="X25" s="387">
        <v>2018</v>
      </c>
    </row>
    <row r="26" spans="1:24" s="509" customFormat="1" ht="12" customHeight="1">
      <c r="A26" s="187" t="s">
        <v>139</v>
      </c>
      <c r="B26" s="509">
        <v>0</v>
      </c>
      <c r="C26" s="509">
        <v>0</v>
      </c>
      <c r="D26" s="15"/>
      <c r="E26" s="16"/>
      <c r="F26" s="15"/>
      <c r="G26" s="16"/>
      <c r="H26" s="15"/>
      <c r="I26" s="15"/>
      <c r="J26" s="509">
        <v>0</v>
      </c>
      <c r="K26" s="98"/>
      <c r="L26" s="509" t="s">
        <v>507</v>
      </c>
      <c r="M26" s="98"/>
      <c r="N26" s="509" t="s">
        <v>25</v>
      </c>
      <c r="P26" s="65">
        <v>31</v>
      </c>
      <c r="Q26" s="65">
        <v>31</v>
      </c>
      <c r="R26" s="75">
        <f t="shared" si="1"/>
        <v>1</v>
      </c>
      <c r="S26" s="76" t="s">
        <v>99</v>
      </c>
      <c r="T26" s="509" t="e">
        <f>IF(L26&lt;&gt;"",VLOOKUP(L26,Locataires!#REF!,4,0),"")</f>
        <v>#REF!</v>
      </c>
      <c r="U26" s="76" t="e">
        <f>IF(L26&lt;&gt;"",VLOOKUP(L26,Locataires!#REF!,5,0),"?")</f>
        <v>#REF!</v>
      </c>
      <c r="V26" s="558" t="s">
        <v>116</v>
      </c>
      <c r="X26" s="387">
        <v>2018</v>
      </c>
    </row>
    <row r="27" spans="1:24" s="509" customFormat="1" ht="12" customHeight="1">
      <c r="A27" s="187" t="s">
        <v>140</v>
      </c>
      <c r="B27" s="509">
        <v>0</v>
      </c>
      <c r="C27" s="509">
        <v>0</v>
      </c>
      <c r="D27" s="15"/>
      <c r="E27" s="16"/>
      <c r="F27" s="15"/>
      <c r="G27" s="16"/>
      <c r="H27" s="15"/>
      <c r="I27" s="15"/>
      <c r="J27" s="509">
        <v>0</v>
      </c>
      <c r="K27" s="98"/>
      <c r="L27" s="509" t="s">
        <v>507</v>
      </c>
      <c r="M27" s="98"/>
      <c r="N27" s="509" t="s">
        <v>25</v>
      </c>
      <c r="P27" s="65">
        <v>30</v>
      </c>
      <c r="Q27" s="65">
        <v>30</v>
      </c>
      <c r="R27" s="75">
        <f t="shared" si="1"/>
        <v>1</v>
      </c>
      <c r="S27" s="76" t="s">
        <v>99</v>
      </c>
      <c r="T27" s="509" t="e">
        <f>IF(L27&lt;&gt;"",VLOOKUP(L27,Locataires!#REF!,4,0),"")</f>
        <v>#REF!</v>
      </c>
      <c r="U27" s="76" t="e">
        <f>IF(L27&lt;&gt;"",VLOOKUP(L27,Locataires!#REF!,5,0),"?")</f>
        <v>#REF!</v>
      </c>
      <c r="V27" s="558" t="s">
        <v>116</v>
      </c>
      <c r="X27" s="387">
        <v>2018</v>
      </c>
    </row>
    <row r="28" spans="1:24" s="509" customFormat="1" ht="12" customHeight="1">
      <c r="A28" s="187" t="s">
        <v>141</v>
      </c>
      <c r="B28" s="509">
        <v>0</v>
      </c>
      <c r="C28" s="509">
        <v>0</v>
      </c>
      <c r="D28" s="15"/>
      <c r="E28" s="16"/>
      <c r="F28" s="15"/>
      <c r="G28" s="16"/>
      <c r="H28" s="15"/>
      <c r="I28" s="15"/>
      <c r="J28" s="509">
        <v>0</v>
      </c>
      <c r="K28" s="98"/>
      <c r="L28" s="509" t="s">
        <v>507</v>
      </c>
      <c r="M28" s="98"/>
      <c r="N28" s="509" t="s">
        <v>25</v>
      </c>
      <c r="P28" s="65">
        <v>31</v>
      </c>
      <c r="Q28" s="65">
        <v>31</v>
      </c>
      <c r="R28" s="75">
        <f t="shared" si="1"/>
        <v>1</v>
      </c>
      <c r="S28" s="76" t="s">
        <v>99</v>
      </c>
      <c r="T28" s="509" t="e">
        <f>IF(L28&lt;&gt;"",VLOOKUP(L28,Locataires!#REF!,4,0),"")</f>
        <v>#REF!</v>
      </c>
      <c r="U28" s="76" t="e">
        <f>IF(L28&lt;&gt;"",VLOOKUP(L28,Locataires!#REF!,5,0),"?")</f>
        <v>#REF!</v>
      </c>
      <c r="V28" s="558" t="s">
        <v>116</v>
      </c>
      <c r="X28" s="387">
        <v>2018</v>
      </c>
    </row>
    <row r="29" spans="1:24" s="509" customFormat="1" ht="12" customHeight="1">
      <c r="A29" s="188" t="s">
        <v>135</v>
      </c>
      <c r="B29" s="561">
        <v>0</v>
      </c>
      <c r="C29" s="561">
        <v>0</v>
      </c>
      <c r="D29" s="126"/>
      <c r="E29" s="127"/>
      <c r="F29" s="126"/>
      <c r="G29" s="16"/>
      <c r="H29" s="126"/>
      <c r="I29" s="126"/>
      <c r="J29" s="509">
        <v>0</v>
      </c>
      <c r="K29" s="128"/>
      <c r="L29" s="145" t="s">
        <v>507</v>
      </c>
      <c r="M29" s="561"/>
      <c r="N29" s="561" t="s">
        <v>25</v>
      </c>
      <c r="O29" s="561"/>
      <c r="P29" s="130">
        <v>30</v>
      </c>
      <c r="Q29" s="130">
        <v>30</v>
      </c>
      <c r="R29" s="131">
        <f t="shared" si="1"/>
        <v>1</v>
      </c>
      <c r="S29" s="76" t="s">
        <v>99</v>
      </c>
      <c r="T29" s="509" t="e">
        <f>IF(L29&lt;&gt;"",VLOOKUP(L29,Locataires!#REF!,4,0),"")</f>
        <v>#REF!</v>
      </c>
      <c r="U29" s="76" t="e">
        <f>IF(L29&lt;&gt;"",VLOOKUP(L29,Locataires!#REF!,5,0),"?")</f>
        <v>#REF!</v>
      </c>
      <c r="V29" s="558" t="s">
        <v>116</v>
      </c>
      <c r="X29" s="387">
        <v>2018</v>
      </c>
    </row>
    <row r="30" spans="1:24" s="509" customFormat="1" ht="12" customHeight="1">
      <c r="A30" s="188" t="s">
        <v>142</v>
      </c>
      <c r="B30" s="561">
        <v>0</v>
      </c>
      <c r="C30" s="561">
        <v>0</v>
      </c>
      <c r="D30" s="126"/>
      <c r="E30" s="127"/>
      <c r="F30" s="126"/>
      <c r="G30" s="16"/>
      <c r="H30" s="126"/>
      <c r="I30" s="126"/>
      <c r="J30" s="509">
        <v>0</v>
      </c>
      <c r="K30" s="128"/>
      <c r="L30" s="560" t="s">
        <v>507</v>
      </c>
      <c r="M30" s="128"/>
      <c r="N30" s="561"/>
      <c r="O30" s="561"/>
      <c r="P30" s="130">
        <v>31</v>
      </c>
      <c r="Q30" s="130">
        <v>31</v>
      </c>
      <c r="R30" s="131">
        <f t="shared" si="1"/>
        <v>1</v>
      </c>
      <c r="S30" s="76" t="s">
        <v>99</v>
      </c>
      <c r="T30" s="509" t="e">
        <f>IF(L30&lt;&gt;"",VLOOKUP(L30,Locataires!#REF!,4,0),"")</f>
        <v>#REF!</v>
      </c>
      <c r="U30" s="76" t="e">
        <f>IF(L30&lt;&gt;"",VLOOKUP(L30,Locataires!#REF!,5,0),"?")</f>
        <v>#REF!</v>
      </c>
      <c r="V30" s="558" t="s">
        <v>116</v>
      </c>
      <c r="X30" s="387">
        <v>2018</v>
      </c>
    </row>
  </sheetData>
  <sheetProtection selectLockedCells="1" selectUnlockedCells="1"/>
  <mergeCells count="12">
    <mergeCell ref="P5:R5"/>
    <mergeCell ref="H5:I5"/>
    <mergeCell ref="Y5:AB5"/>
    <mergeCell ref="C2:D2"/>
    <mergeCell ref="E2:G2"/>
    <mergeCell ref="I2:J2"/>
    <mergeCell ref="C3:E3"/>
    <mergeCell ref="F3:G3"/>
    <mergeCell ref="I3:J3"/>
    <mergeCell ref="B5:C5"/>
    <mergeCell ref="D5:E5"/>
    <mergeCell ref="F5:G5"/>
  </mergeCells>
  <conditionalFormatting sqref="H7:I18">
    <cfRule type="cellIs" dxfId="18" priority="2" stopIfTrue="1" operator="greaterThan">
      <formula>0</formula>
    </cfRule>
  </conditionalFormatting>
  <conditionalFormatting sqref="H19:I30">
    <cfRule type="cellIs" dxfId="17" priority="1" stopIfTrue="1" operator="greaterThan">
      <formula>0</formula>
    </cfRule>
  </conditionalFormatting>
  <dataValidations count="1">
    <dataValidation type="list" allowBlank="1" showInputMessage="1" showErrorMessage="1" sqref="S7:S30">
      <formula1>Oui_Non</formula1>
    </dataValidation>
  </dataValidations>
  <pageMargins left="0.7" right="0.7" top="0.75" bottom="0.75" header="0.51180555555555551" footer="0.51180555555555551"/>
  <pageSetup paperSize="9" firstPageNumber="0" orientation="portrait" horizontalDpi="300" verticalDpi="300"/>
  <headerFooter alignWithMargins="0"/>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AB30"/>
  <sheetViews>
    <sheetView topLeftCell="C1" workbookViewId="0">
      <selection activeCell="N36" sqref="N36"/>
    </sheetView>
  </sheetViews>
  <sheetFormatPr baseColWidth="10" defaultRowHeight="12.75"/>
  <cols>
    <col min="1" max="1" width="12.28515625" customWidth="1"/>
    <col min="4" max="4" width="10.5703125" customWidth="1"/>
    <col min="5" max="6" width="9.5703125" customWidth="1"/>
    <col min="7" max="7" width="10.5703125" customWidth="1"/>
    <col min="9" max="9" width="14.28515625" customWidth="1"/>
    <col min="10" max="10" width="8.5703125" customWidth="1"/>
    <col min="12" max="12" width="17" customWidth="1"/>
    <col min="13" max="13" width="11.42578125" customWidth="1"/>
    <col min="14" max="14" width="16.5703125" customWidth="1"/>
    <col min="15" max="15" width="5.140625" customWidth="1"/>
    <col min="16" max="18" width="8.140625" customWidth="1"/>
  </cols>
  <sheetData>
    <row r="1" spans="1:28">
      <c r="A1" s="1" t="s">
        <v>46</v>
      </c>
    </row>
    <row r="2" spans="1:28" ht="15">
      <c r="B2" s="2" t="s">
        <v>0</v>
      </c>
      <c r="C2" s="781" t="s">
        <v>1</v>
      </c>
      <c r="D2" s="781"/>
      <c r="E2" s="781" t="s">
        <v>2</v>
      </c>
      <c r="F2" s="781"/>
      <c r="G2" s="781"/>
      <c r="H2" s="782" t="s">
        <v>3</v>
      </c>
      <c r="I2" s="782"/>
      <c r="J2" s="3" t="s">
        <v>4</v>
      </c>
    </row>
    <row r="3" spans="1:28">
      <c r="B3" s="2" t="s">
        <v>5</v>
      </c>
      <c r="C3" s="783" t="s">
        <v>56</v>
      </c>
      <c r="D3" s="783"/>
      <c r="E3" s="783"/>
      <c r="F3" s="784"/>
      <c r="G3" s="784"/>
      <c r="H3" s="785"/>
      <c r="I3" s="785"/>
      <c r="J3" s="4"/>
      <c r="N3" s="12"/>
      <c r="O3">
        <v>5</v>
      </c>
    </row>
    <row r="4" spans="1:28" ht="15">
      <c r="C4" s="5"/>
      <c r="D4" s="5"/>
      <c r="E4" s="5"/>
      <c r="F4" s="5"/>
      <c r="G4" s="5"/>
      <c r="H4" s="6"/>
      <c r="I4" s="5"/>
      <c r="J4" s="7"/>
    </row>
    <row r="5" spans="1:28" s="291" customFormat="1" ht="33.75">
      <c r="A5" s="8"/>
      <c r="B5" s="787" t="s">
        <v>9</v>
      </c>
      <c r="C5" s="787"/>
      <c r="D5" s="788" t="s">
        <v>10</v>
      </c>
      <c r="E5" s="788"/>
      <c r="F5" s="789" t="s">
        <v>11</v>
      </c>
      <c r="G5" s="789"/>
      <c r="H5" s="790" t="s">
        <v>53</v>
      </c>
      <c r="I5" s="791"/>
      <c r="J5" s="72" t="s">
        <v>12</v>
      </c>
      <c r="K5" s="100" t="s">
        <v>13</v>
      </c>
      <c r="L5" s="8" t="s">
        <v>11</v>
      </c>
      <c r="M5" s="11" t="s">
        <v>14</v>
      </c>
      <c r="N5" s="9" t="s">
        <v>54</v>
      </c>
      <c r="O5" s="67" t="s">
        <v>52</v>
      </c>
      <c r="P5" s="672" t="s">
        <v>62</v>
      </c>
      <c r="Q5" s="672"/>
      <c r="R5" s="672"/>
      <c r="S5" s="77" t="s">
        <v>94</v>
      </c>
      <c r="T5" s="77" t="s">
        <v>101</v>
      </c>
      <c r="U5" s="77" t="s">
        <v>64</v>
      </c>
      <c r="Y5" s="793" t="s">
        <v>629</v>
      </c>
      <c r="Z5" s="793"/>
      <c r="AA5" s="793"/>
      <c r="AB5" s="793"/>
    </row>
    <row r="6" spans="1:28">
      <c r="A6">
        <v>2017</v>
      </c>
      <c r="B6" s="13" t="s">
        <v>9</v>
      </c>
      <c r="C6" s="13" t="s">
        <v>15</v>
      </c>
      <c r="D6" s="13" t="s">
        <v>16</v>
      </c>
      <c r="E6" s="13" t="s">
        <v>17</v>
      </c>
      <c r="F6" s="13" t="s">
        <v>16</v>
      </c>
      <c r="G6" s="13" t="s">
        <v>17</v>
      </c>
      <c r="H6" s="155" t="s">
        <v>16</v>
      </c>
      <c r="I6" s="155" t="s">
        <v>119</v>
      </c>
      <c r="K6" s="98"/>
      <c r="O6" s="293">
        <v>2</v>
      </c>
      <c r="R6" s="293" t="s">
        <v>63</v>
      </c>
      <c r="S6" s="293"/>
      <c r="Y6" s="474" t="s">
        <v>630</v>
      </c>
      <c r="Z6" s="474" t="s">
        <v>631</v>
      </c>
      <c r="AA6" s="474" t="s">
        <v>632</v>
      </c>
      <c r="AB6" s="474"/>
    </row>
    <row r="7" spans="1:28" ht="12.95" customHeight="1">
      <c r="A7" s="187" t="s">
        <v>131</v>
      </c>
      <c r="B7">
        <v>0</v>
      </c>
      <c r="C7" t="s">
        <v>326</v>
      </c>
      <c r="D7" s="15"/>
      <c r="E7" s="16"/>
      <c r="F7" s="15">
        <v>850</v>
      </c>
      <c r="G7" s="16">
        <v>42738</v>
      </c>
      <c r="H7" s="326">
        <v>0.51</v>
      </c>
      <c r="I7" s="15"/>
      <c r="J7">
        <f>(B7+C7)*R7-D7-F7-H7</f>
        <v>-800.51</v>
      </c>
      <c r="K7" s="98">
        <v>42738</v>
      </c>
      <c r="L7" s="145" t="s">
        <v>293</v>
      </c>
      <c r="M7" s="98"/>
      <c r="P7" s="65">
        <v>31</v>
      </c>
      <c r="Q7" s="65">
        <v>31</v>
      </c>
      <c r="R7" s="75">
        <f>P7/Q7</f>
        <v>1</v>
      </c>
      <c r="S7" s="76" t="s">
        <v>99</v>
      </c>
      <c r="T7" t="str">
        <f>IF(L6&lt;&gt;"",VLOOKUP(L7,Locataires!C5:L8,4,0),"pas de Locataire")</f>
        <v>pas de Locataire</v>
      </c>
      <c r="U7" s="76" t="e">
        <f>IF(L7&lt;&gt;"",VLOOKUP(L7,Locataires!C5:L8,5,0),"?")</f>
        <v>#N/A</v>
      </c>
      <c r="V7" s="142">
        <v>42739</v>
      </c>
      <c r="W7" s="142">
        <v>42739</v>
      </c>
      <c r="X7">
        <v>2016</v>
      </c>
    </row>
    <row r="8" spans="1:28" ht="12.95" customHeight="1">
      <c r="A8" s="187" t="s">
        <v>147</v>
      </c>
      <c r="B8">
        <v>0</v>
      </c>
      <c r="C8" t="s">
        <v>326</v>
      </c>
      <c r="D8" s="15"/>
      <c r="E8" s="16"/>
      <c r="F8" s="15">
        <v>851</v>
      </c>
      <c r="G8" s="16">
        <v>42737</v>
      </c>
      <c r="H8" s="326">
        <v>0.52</v>
      </c>
      <c r="I8" s="15"/>
      <c r="J8">
        <f t="shared" ref="J8:J18" si="0">(B8+C8)*R8-D8-F8-H8</f>
        <v>-801.52</v>
      </c>
      <c r="K8" s="98">
        <v>42768</v>
      </c>
      <c r="L8" s="145" t="s">
        <v>294</v>
      </c>
      <c r="M8" s="98"/>
      <c r="P8" s="65">
        <v>28</v>
      </c>
      <c r="Q8" s="65">
        <v>28</v>
      </c>
      <c r="R8" s="75">
        <f t="shared" ref="R8:R18" si="1">P8/Q8</f>
        <v>1</v>
      </c>
      <c r="S8" s="76" t="s">
        <v>99</v>
      </c>
      <c r="T8" t="e">
        <f>IF(L8&lt;&gt;"",VLOOKUP(L8,Locataires!C6:L8,4,0),"")</f>
        <v>#N/A</v>
      </c>
      <c r="U8" s="76" t="e">
        <f>IF(L8&lt;&gt;"",VLOOKUP(L8,Locataires!C6:L8,5,0),"?")</f>
        <v>#N/A</v>
      </c>
      <c r="V8" s="198">
        <v>42768.714479166665</v>
      </c>
      <c r="X8">
        <v>2016</v>
      </c>
    </row>
    <row r="9" spans="1:28" ht="12.95" customHeight="1">
      <c r="A9" s="187" t="s">
        <v>134</v>
      </c>
      <c r="B9">
        <v>0</v>
      </c>
      <c r="C9" t="s">
        <v>326</v>
      </c>
      <c r="D9" s="15"/>
      <c r="E9" s="16"/>
      <c r="F9" s="15">
        <v>852</v>
      </c>
      <c r="G9" s="16">
        <v>42737</v>
      </c>
      <c r="H9" s="326">
        <v>0.53</v>
      </c>
      <c r="I9" s="15"/>
      <c r="J9">
        <f t="shared" si="0"/>
        <v>-802.53</v>
      </c>
      <c r="K9" s="98"/>
      <c r="L9" t="s">
        <v>295</v>
      </c>
      <c r="M9" s="98"/>
      <c r="P9" s="65">
        <v>31</v>
      </c>
      <c r="Q9" s="65">
        <v>31</v>
      </c>
      <c r="R9" s="75">
        <f t="shared" si="1"/>
        <v>1</v>
      </c>
      <c r="S9" s="76" t="s">
        <v>99</v>
      </c>
      <c r="T9" t="e">
        <f>IF(L9&lt;&gt;"",VLOOKUP(L9,Locataires!C7:L8,4,0),"")</f>
        <v>#N/A</v>
      </c>
      <c r="U9" s="76" t="e">
        <f>IF(L9&lt;&gt;"",VLOOKUP(L9,Locataires!C7:L8,5,0),"?")</f>
        <v>#N/A</v>
      </c>
      <c r="V9" s="292" t="s">
        <v>116</v>
      </c>
      <c r="X9">
        <v>2016</v>
      </c>
    </row>
    <row r="10" spans="1:28" ht="12.95" customHeight="1">
      <c r="A10" s="187" t="s">
        <v>132</v>
      </c>
      <c r="B10">
        <v>0</v>
      </c>
      <c r="C10" t="s">
        <v>326</v>
      </c>
      <c r="D10" s="15"/>
      <c r="E10" s="16"/>
      <c r="F10" s="15">
        <v>853</v>
      </c>
      <c r="G10" s="16">
        <v>42737</v>
      </c>
      <c r="H10" s="326">
        <v>0.54</v>
      </c>
      <c r="I10" s="15"/>
      <c r="J10">
        <f t="shared" si="0"/>
        <v>-803.54</v>
      </c>
      <c r="K10" s="98"/>
      <c r="L10" t="s">
        <v>296</v>
      </c>
      <c r="M10" s="98"/>
      <c r="P10" s="65">
        <v>30</v>
      </c>
      <c r="Q10" s="65">
        <v>30</v>
      </c>
      <c r="R10" s="75">
        <f t="shared" si="1"/>
        <v>1</v>
      </c>
      <c r="S10" s="76" t="s">
        <v>99</v>
      </c>
      <c r="T10" t="e">
        <f>IF(L10&lt;&gt;"",VLOOKUP(L10,Locataires!C8:L8,4,0),"")</f>
        <v>#N/A</v>
      </c>
      <c r="U10" s="76" t="e">
        <f>IF(L10&lt;&gt;"",VLOOKUP(L10,Locataires!C8:L8,5,0),"?")</f>
        <v>#N/A</v>
      </c>
      <c r="V10" s="292" t="s">
        <v>116</v>
      </c>
      <c r="X10">
        <v>2016</v>
      </c>
    </row>
    <row r="11" spans="1:28" ht="12.95" customHeight="1">
      <c r="A11" s="187" t="s">
        <v>136</v>
      </c>
      <c r="B11">
        <v>0</v>
      </c>
      <c r="C11" t="s">
        <v>326</v>
      </c>
      <c r="D11" s="15"/>
      <c r="E11" s="16"/>
      <c r="F11" s="15">
        <v>854</v>
      </c>
      <c r="G11" s="16">
        <v>42737</v>
      </c>
      <c r="H11" s="326">
        <v>0.55000000000000004</v>
      </c>
      <c r="I11" s="15"/>
      <c r="J11">
        <f t="shared" si="0"/>
        <v>-804.55</v>
      </c>
      <c r="K11" s="98"/>
      <c r="L11" t="s">
        <v>297</v>
      </c>
      <c r="M11" s="98"/>
      <c r="P11" s="65">
        <v>31</v>
      </c>
      <c r="Q11" s="65">
        <v>31</v>
      </c>
      <c r="R11" s="75">
        <f t="shared" si="1"/>
        <v>1</v>
      </c>
      <c r="S11" s="76" t="s">
        <v>99</v>
      </c>
      <c r="T11" t="e">
        <f>IF(L11&lt;&gt;"",VLOOKUP(L11,Locataires!#REF!,4,0),"")</f>
        <v>#REF!</v>
      </c>
      <c r="U11" s="76" t="e">
        <f>IF(L11&lt;&gt;"",VLOOKUP(L11,Locataires!#REF!,5,0),"?")</f>
        <v>#REF!</v>
      </c>
      <c r="V11" s="292" t="s">
        <v>116</v>
      </c>
      <c r="X11">
        <v>2016</v>
      </c>
    </row>
    <row r="12" spans="1:28" ht="12.95" customHeight="1">
      <c r="A12" s="187" t="s">
        <v>137</v>
      </c>
      <c r="B12">
        <v>0</v>
      </c>
      <c r="C12" t="s">
        <v>326</v>
      </c>
      <c r="D12" s="15"/>
      <c r="E12" s="16"/>
      <c r="F12" s="15">
        <v>855</v>
      </c>
      <c r="G12" s="16">
        <v>42737</v>
      </c>
      <c r="H12" s="326">
        <v>0.56000000000000005</v>
      </c>
      <c r="I12" s="15"/>
      <c r="J12">
        <f t="shared" si="0"/>
        <v>-805.56</v>
      </c>
      <c r="K12" s="98"/>
      <c r="L12" t="s">
        <v>228</v>
      </c>
      <c r="M12" s="98"/>
      <c r="P12" s="65">
        <v>30</v>
      </c>
      <c r="Q12" s="65">
        <v>30</v>
      </c>
      <c r="R12" s="75">
        <f t="shared" si="1"/>
        <v>1</v>
      </c>
      <c r="S12" s="76" t="s">
        <v>99</v>
      </c>
      <c r="T12" t="e">
        <f>IF(L12&lt;&gt;"",VLOOKUP(L12,Locataires!#REF!,4,0),"")</f>
        <v>#REF!</v>
      </c>
      <c r="U12" s="76" t="e">
        <f>IF(L12&lt;&gt;"",VLOOKUP(L12,Locataires!#REF!,5,0),"?")</f>
        <v>#REF!</v>
      </c>
      <c r="V12" s="292" t="s">
        <v>116</v>
      </c>
      <c r="X12">
        <v>2016</v>
      </c>
    </row>
    <row r="13" spans="1:28" ht="12.95" customHeight="1">
      <c r="A13" s="187" t="s">
        <v>138</v>
      </c>
      <c r="B13">
        <v>0</v>
      </c>
      <c r="C13" t="s">
        <v>326</v>
      </c>
      <c r="D13" s="15"/>
      <c r="E13" s="16"/>
      <c r="F13" s="15">
        <v>856</v>
      </c>
      <c r="G13" s="16">
        <v>42737</v>
      </c>
      <c r="H13" s="326">
        <v>0.56999999999999995</v>
      </c>
      <c r="I13" s="15"/>
      <c r="J13">
        <f t="shared" si="0"/>
        <v>-806.57</v>
      </c>
      <c r="K13" s="98"/>
      <c r="L13" t="s">
        <v>298</v>
      </c>
      <c r="M13" s="98"/>
      <c r="P13" s="65">
        <v>31</v>
      </c>
      <c r="Q13" s="65">
        <v>31</v>
      </c>
      <c r="R13" s="75">
        <f t="shared" si="1"/>
        <v>1</v>
      </c>
      <c r="S13" s="76" t="s">
        <v>99</v>
      </c>
      <c r="T13" t="e">
        <f>IF(L13&lt;&gt;"",VLOOKUP(L13,Locataires!#REF!,4,0),"")</f>
        <v>#REF!</v>
      </c>
      <c r="U13" s="76" t="e">
        <f>IF(L13&lt;&gt;"",VLOOKUP(L13,Locataires!#REF!,5,0),"?")</f>
        <v>#REF!</v>
      </c>
      <c r="V13" s="292" t="s">
        <v>116</v>
      </c>
      <c r="X13">
        <v>2016</v>
      </c>
    </row>
    <row r="14" spans="1:28" ht="12.95" customHeight="1">
      <c r="A14" s="187" t="s">
        <v>139</v>
      </c>
      <c r="B14">
        <v>0</v>
      </c>
      <c r="C14" t="s">
        <v>326</v>
      </c>
      <c r="D14" s="15"/>
      <c r="E14" s="16"/>
      <c r="F14" s="15">
        <v>857</v>
      </c>
      <c r="G14" s="16">
        <v>42737</v>
      </c>
      <c r="H14" s="326">
        <v>0.57999999999999996</v>
      </c>
      <c r="I14" s="15"/>
      <c r="J14">
        <f t="shared" si="0"/>
        <v>-807.58</v>
      </c>
      <c r="K14" s="98"/>
      <c r="L14" t="s">
        <v>299</v>
      </c>
      <c r="M14" s="98"/>
      <c r="P14" s="65">
        <v>31</v>
      </c>
      <c r="Q14" s="65">
        <v>31</v>
      </c>
      <c r="R14" s="75">
        <f t="shared" si="1"/>
        <v>1</v>
      </c>
      <c r="S14" s="76" t="s">
        <v>99</v>
      </c>
      <c r="T14" t="e">
        <f>IF(L14&lt;&gt;"",VLOOKUP(L14,Locataires!#REF!,4,0),"")</f>
        <v>#REF!</v>
      </c>
      <c r="U14" s="76" t="e">
        <f>IF(L14&lt;&gt;"",VLOOKUP(L14,Locataires!#REF!,5,0),"?")</f>
        <v>#REF!</v>
      </c>
      <c r="V14" s="292" t="s">
        <v>116</v>
      </c>
      <c r="X14">
        <v>2016</v>
      </c>
    </row>
    <row r="15" spans="1:28" ht="12.95" customHeight="1">
      <c r="A15" s="187" t="s">
        <v>140</v>
      </c>
      <c r="B15">
        <v>0</v>
      </c>
      <c r="C15" t="s">
        <v>326</v>
      </c>
      <c r="D15" s="15"/>
      <c r="E15" s="16"/>
      <c r="F15" s="15">
        <v>858</v>
      </c>
      <c r="G15" s="16">
        <v>42737</v>
      </c>
      <c r="H15" s="326">
        <v>0.59</v>
      </c>
      <c r="I15" s="15"/>
      <c r="J15">
        <f t="shared" si="0"/>
        <v>-808.59</v>
      </c>
      <c r="K15" s="98"/>
      <c r="L15" t="s">
        <v>300</v>
      </c>
      <c r="M15" s="98"/>
      <c r="P15" s="65">
        <v>30</v>
      </c>
      <c r="Q15" s="65">
        <v>30</v>
      </c>
      <c r="R15" s="75">
        <f t="shared" si="1"/>
        <v>1</v>
      </c>
      <c r="S15" s="76" t="s">
        <v>99</v>
      </c>
      <c r="T15" t="e">
        <f>IF(L15&lt;&gt;"",VLOOKUP(L15,Locataires!#REF!,4,0),"")</f>
        <v>#REF!</v>
      </c>
      <c r="U15" s="76" t="e">
        <f>IF(L15&lt;&gt;"",VLOOKUP(L15,Locataires!#REF!,5,0),"?")</f>
        <v>#REF!</v>
      </c>
      <c r="V15" s="292" t="s">
        <v>116</v>
      </c>
      <c r="X15">
        <v>2016</v>
      </c>
    </row>
    <row r="16" spans="1:28" ht="12.95" customHeight="1">
      <c r="A16" s="187" t="s">
        <v>141</v>
      </c>
      <c r="B16">
        <v>0</v>
      </c>
      <c r="C16" t="s">
        <v>326</v>
      </c>
      <c r="D16" s="15"/>
      <c r="E16" s="16"/>
      <c r="F16" s="15">
        <v>859</v>
      </c>
      <c r="G16" s="16">
        <v>42737</v>
      </c>
      <c r="H16" s="326">
        <v>0.6</v>
      </c>
      <c r="I16" s="15"/>
      <c r="J16">
        <f t="shared" si="0"/>
        <v>-809.6</v>
      </c>
      <c r="K16" s="98"/>
      <c r="L16" t="s">
        <v>301</v>
      </c>
      <c r="M16" s="98"/>
      <c r="P16" s="65">
        <v>31</v>
      </c>
      <c r="Q16" s="65">
        <v>31</v>
      </c>
      <c r="R16" s="75">
        <f t="shared" si="1"/>
        <v>1</v>
      </c>
      <c r="S16" s="76" t="s">
        <v>99</v>
      </c>
      <c r="T16" t="e">
        <f>IF(L16&lt;&gt;"",VLOOKUP(L16,Locataires!#REF!,4,0),"")</f>
        <v>#REF!</v>
      </c>
      <c r="U16" s="76" t="e">
        <f>IF(L16&lt;&gt;"",VLOOKUP(L16,Locataires!#REF!,5,0),"?")</f>
        <v>#REF!</v>
      </c>
      <c r="V16" s="292" t="s">
        <v>116</v>
      </c>
      <c r="X16">
        <v>2016</v>
      </c>
    </row>
    <row r="17" spans="1:24" ht="12.95" customHeight="1">
      <c r="A17" s="188" t="s">
        <v>135</v>
      </c>
      <c r="B17">
        <v>0</v>
      </c>
      <c r="C17" t="s">
        <v>326</v>
      </c>
      <c r="D17" s="126"/>
      <c r="E17" s="127"/>
      <c r="F17" s="126">
        <v>860</v>
      </c>
      <c r="G17" s="16">
        <v>42737</v>
      </c>
      <c r="H17" s="327">
        <v>0.61</v>
      </c>
      <c r="I17" s="126"/>
      <c r="J17">
        <f t="shared" si="0"/>
        <v>-810.61</v>
      </c>
      <c r="K17" s="128"/>
      <c r="L17" s="145" t="s">
        <v>302</v>
      </c>
      <c r="M17" s="294"/>
      <c r="N17" s="294"/>
      <c r="O17" s="294"/>
      <c r="P17" s="130">
        <v>30</v>
      </c>
      <c r="Q17" s="130">
        <v>30</v>
      </c>
      <c r="R17" s="131">
        <f t="shared" si="1"/>
        <v>1</v>
      </c>
      <c r="S17" s="76" t="s">
        <v>99</v>
      </c>
      <c r="T17" t="e">
        <f>IF(L17&lt;&gt;"",VLOOKUP(L17,Locataires!#REF!,4,0),"")</f>
        <v>#REF!</v>
      </c>
      <c r="U17" s="76" t="e">
        <f>IF(L17&lt;&gt;"",VLOOKUP(L17,Locataires!#REF!,5,0),"?")</f>
        <v>#REF!</v>
      </c>
      <c r="V17" s="292" t="s">
        <v>116</v>
      </c>
      <c r="X17">
        <v>2016</v>
      </c>
    </row>
    <row r="18" spans="1:24" ht="12.95" customHeight="1">
      <c r="A18" s="188" t="s">
        <v>142</v>
      </c>
      <c r="B18">
        <v>0</v>
      </c>
      <c r="C18" t="s">
        <v>326</v>
      </c>
      <c r="D18" s="126"/>
      <c r="E18" s="127"/>
      <c r="F18" s="126">
        <v>861</v>
      </c>
      <c r="G18" s="16">
        <v>42737</v>
      </c>
      <c r="H18" s="327">
        <v>0.62</v>
      </c>
      <c r="I18" s="126"/>
      <c r="J18">
        <f t="shared" si="0"/>
        <v>-811.62</v>
      </c>
      <c r="K18" s="128"/>
      <c r="L18" s="129" t="s">
        <v>303</v>
      </c>
      <c r="M18" s="128"/>
      <c r="N18" s="294"/>
      <c r="O18" s="294"/>
      <c r="P18" s="130">
        <v>31</v>
      </c>
      <c r="Q18" s="130">
        <v>31</v>
      </c>
      <c r="R18" s="131">
        <f t="shared" si="1"/>
        <v>1</v>
      </c>
      <c r="S18" s="76" t="s">
        <v>99</v>
      </c>
      <c r="T18" t="e">
        <f>IF(L18&lt;&gt;"",VLOOKUP(L18,Locataires!#REF!,4,0),"")</f>
        <v>#REF!</v>
      </c>
      <c r="U18" s="76" t="e">
        <f>IF(L18&lt;&gt;"",VLOOKUP(L18,Locataires!#REF!,5,0),"?")</f>
        <v>#REF!</v>
      </c>
      <c r="V18" s="292" t="s">
        <v>116</v>
      </c>
      <c r="X18">
        <v>2016</v>
      </c>
    </row>
    <row r="19" spans="1:24">
      <c r="B19" s="19" t="s">
        <v>19</v>
      </c>
      <c r="C19" s="20">
        <v>5100</v>
      </c>
      <c r="J19" s="98"/>
      <c r="R19" s="293"/>
    </row>
    <row r="20" spans="1:24">
      <c r="C20" s="21" t="s">
        <v>20</v>
      </c>
      <c r="D20" s="15">
        <v>0</v>
      </c>
      <c r="F20" s="15">
        <v>1700</v>
      </c>
      <c r="J20" s="98"/>
      <c r="R20" s="293"/>
    </row>
    <row r="21" spans="1:24">
      <c r="J21" s="98"/>
      <c r="R21" s="293"/>
    </row>
    <row r="22" spans="1:24">
      <c r="C22" s="21" t="s">
        <v>21</v>
      </c>
      <c r="D22" s="22">
        <v>1700</v>
      </c>
      <c r="J22" s="98"/>
      <c r="R22" s="293"/>
    </row>
    <row r="23" spans="1:24">
      <c r="C23" s="23" t="s">
        <v>22</v>
      </c>
      <c r="D23" s="24">
        <v>0.33333333333333331</v>
      </c>
      <c r="J23" s="98"/>
      <c r="R23" s="293"/>
    </row>
    <row r="29" spans="1:24" ht="26.25" customHeight="1">
      <c r="L29" s="25"/>
      <c r="M29" s="26"/>
      <c r="N29" s="26"/>
      <c r="O29" s="777"/>
      <c r="P29" s="777"/>
      <c r="Q29" s="70"/>
      <c r="R29" s="70"/>
    </row>
    <row r="30" spans="1:24" ht="26.25">
      <c r="J30" s="27"/>
      <c r="L30" s="26"/>
      <c r="M30" s="26"/>
      <c r="N30" s="26"/>
      <c r="O30" s="27"/>
      <c r="P30" s="27"/>
      <c r="Q30" s="27"/>
      <c r="R30" s="27"/>
    </row>
  </sheetData>
  <sheetProtection selectLockedCells="1" selectUnlockedCells="1"/>
  <mergeCells count="13">
    <mergeCell ref="O29:P29"/>
    <mergeCell ref="H5:I5"/>
    <mergeCell ref="P5:R5"/>
    <mergeCell ref="Y5:AB5"/>
    <mergeCell ref="C2:D2"/>
    <mergeCell ref="E2:G2"/>
    <mergeCell ref="H2:I2"/>
    <mergeCell ref="C3:E3"/>
    <mergeCell ref="F3:G3"/>
    <mergeCell ref="H3:I3"/>
    <mergeCell ref="B5:C5"/>
    <mergeCell ref="D5:E5"/>
    <mergeCell ref="F5:G5"/>
  </mergeCells>
  <conditionalFormatting sqref="H7:I18">
    <cfRule type="cellIs" dxfId="16" priority="1" stopIfTrue="1" operator="greaterThan">
      <formula>0</formula>
    </cfRule>
  </conditionalFormatting>
  <dataValidations count="1">
    <dataValidation type="list" allowBlank="1" showInputMessage="1" showErrorMessage="1" sqref="S7:S18">
      <formula1>Oui_Non</formula1>
    </dataValidation>
  </dataValidations>
  <pageMargins left="0.7" right="0.7" top="0.75" bottom="0.75" header="0.51180555555555551" footer="0.51180555555555551"/>
  <pageSetup paperSize="9" firstPageNumber="0" orientation="portrait" horizontalDpi="300" verticalDpi="300" r:id="rId1"/>
  <headerFooter alignWithMargins="0"/>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dimension ref="A1:H39"/>
  <sheetViews>
    <sheetView topLeftCell="A10" workbookViewId="0">
      <selection activeCell="B39" sqref="B39"/>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
        <v>139</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0" customHeight="1">
      <c r="D12" s="27"/>
      <c r="E12" s="355" t="s">
        <v>24</v>
      </c>
      <c r="F12" s="794" t="s">
        <v>422</v>
      </c>
      <c r="G12" s="794"/>
      <c r="H12" s="794"/>
    </row>
    <row r="13" spans="1:8" ht="15">
      <c r="D13" s="27"/>
      <c r="F13" t="s">
        <v>25</v>
      </c>
    </row>
    <row r="14" spans="1:8" ht="15" customHeight="1">
      <c r="A14" s="309"/>
      <c r="B14" s="26"/>
      <c r="C14" s="26"/>
      <c r="D14" s="777" t="s">
        <v>26</v>
      </c>
      <c r="E14" s="777"/>
      <c r="F14" s="778" t="s">
        <v>420</v>
      </c>
      <c r="G14" s="778"/>
      <c r="H14" s="27"/>
    </row>
    <row r="15" spans="1:8" ht="15" customHeight="1">
      <c r="A15" s="26"/>
      <c r="B15" s="26"/>
      <c r="C15" s="26"/>
      <c r="D15" s="27"/>
      <c r="E15" s="27"/>
      <c r="F15" s="28" t="s">
        <v>421</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v>111</v>
      </c>
      <c r="G23" s="42"/>
    </row>
    <row r="24" spans="1:8" ht="15">
      <c r="B24" s="773" t="s">
        <v>15</v>
      </c>
      <c r="C24" s="773"/>
      <c r="D24" s="773"/>
      <c r="E24" s="773"/>
      <c r="F24" s="43">
        <v>222</v>
      </c>
      <c r="G24" s="40"/>
    </row>
    <row r="25" spans="1:8">
      <c r="B25" s="34"/>
      <c r="C25" s="30"/>
      <c r="D25" s="30"/>
      <c r="E25" s="30"/>
      <c r="F25" s="34"/>
      <c r="G25" s="40"/>
    </row>
    <row r="26" spans="1:8" ht="15">
      <c r="B26" s="44" t="str">
        <f>IF(G26="","","APL versée par la CAF")</f>
        <v/>
      </c>
      <c r="C26" s="30"/>
      <c r="D26" s="45" t="str">
        <f>IF(G26="","","Le: ")</f>
        <v/>
      </c>
      <c r="E26" s="310" t="str">
        <f>IF(G26="","",Old_recap!E9)</f>
        <v/>
      </c>
      <c r="F26" s="34"/>
      <c r="G26" s="47" t="str">
        <f>IF(Old_recap!D9=0,"",Old_recap!D9)</f>
        <v/>
      </c>
    </row>
    <row r="27" spans="1:8">
      <c r="B27" s="34" t="s">
        <v>28</v>
      </c>
      <c r="C27" s="30"/>
      <c r="D27" s="45" t="s">
        <v>29</v>
      </c>
      <c r="E27" s="46">
        <v>1</v>
      </c>
      <c r="F27" s="34"/>
      <c r="G27" s="40">
        <v>333</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0</v>
      </c>
    </row>
    <row r="37" spans="2:7">
      <c r="C37" s="2" t="s">
        <v>31</v>
      </c>
      <c r="D37" s="780">
        <v>36526</v>
      </c>
      <c r="E37" s="780"/>
    </row>
    <row r="39" spans="2:7" ht="18" customHeight="1"/>
  </sheetData>
  <sheetProtection selectLockedCells="1" selectUnlockedCells="1"/>
  <mergeCells count="8">
    <mergeCell ref="B24:E24"/>
    <mergeCell ref="D37:E37"/>
    <mergeCell ref="C1:G2"/>
    <mergeCell ref="G3:H3"/>
    <mergeCell ref="F12:H12"/>
    <mergeCell ref="D14:E14"/>
    <mergeCell ref="F14:G14"/>
    <mergeCell ref="B23:E23"/>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39"/>
  <sheetViews>
    <sheetView workbookViewId="0">
      <selection activeCell="G3" sqref="G3:H3"/>
    </sheetView>
  </sheetViews>
  <sheetFormatPr baseColWidth="10" defaultRowHeight="12.75"/>
  <cols>
    <col min="1" max="1" width="16.5703125" customWidth="1"/>
    <col min="5" max="5" width="8.85546875" customWidth="1"/>
    <col min="7" max="7" width="11.5703125" customWidth="1"/>
  </cols>
  <sheetData>
    <row r="1" spans="1:8" ht="15">
      <c r="A1" s="27" t="str">
        <f>prop_nom</f>
        <v>Mr dubosq</v>
      </c>
      <c r="C1" s="797" t="s">
        <v>23</v>
      </c>
      <c r="D1" s="797"/>
      <c r="E1" s="797"/>
      <c r="F1" s="797"/>
      <c r="G1" s="797"/>
    </row>
    <row r="2" spans="1:8" ht="15">
      <c r="A2" s="27" t="str">
        <f>prop_adr</f>
        <v>6 rue des aules</v>
      </c>
      <c r="C2" s="797"/>
      <c r="D2" s="797"/>
      <c r="E2" s="797"/>
      <c r="F2" s="797"/>
      <c r="G2" s="797"/>
    </row>
    <row r="3" spans="1:8" ht="15.75">
      <c r="A3" s="27" t="str">
        <f>prop_cp&amp;" "&amp;prop_ville</f>
        <v>75960 tataouine</v>
      </c>
      <c r="G3" s="775" t="str">
        <f>recap_L1!A19</f>
        <v>Janvier</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9" spans="1:8">
      <c r="A9" s="116"/>
    </row>
    <row r="12" spans="1:8" ht="24.95" customHeight="1">
      <c r="D12" s="796" t="s">
        <v>24</v>
      </c>
      <c r="E12" s="678"/>
      <c r="F12" s="795" t="str">
        <f>Loc_01</f>
        <v>Mr Ali BEN ABDEL JELIL Ali  _x000D_
Mme BEN ABDEL JELIL Insaf</v>
      </c>
      <c r="G12" s="795"/>
      <c r="H12" s="795"/>
    </row>
    <row r="13" spans="1:8" ht="15">
      <c r="D13" s="27"/>
      <c r="F13" t="s">
        <v>25</v>
      </c>
    </row>
    <row r="14" spans="1:8" ht="16.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Old_recap!B7</f>
        <v>400</v>
      </c>
      <c r="G23" s="42"/>
    </row>
    <row r="24" spans="1:8" ht="15">
      <c r="B24" s="773" t="s">
        <v>15</v>
      </c>
      <c r="C24" s="773"/>
      <c r="D24" s="773"/>
      <c r="E24" s="773"/>
      <c r="F24" s="43">
        <f>Old_recap!C7</f>
        <v>40</v>
      </c>
      <c r="G24" s="40"/>
    </row>
    <row r="25" spans="1:8">
      <c r="B25" s="34"/>
      <c r="C25" s="30"/>
      <c r="D25" s="30"/>
      <c r="E25" s="30"/>
      <c r="F25" s="34"/>
      <c r="G25" s="40"/>
    </row>
    <row r="26" spans="1:8" ht="15">
      <c r="B26" s="44" t="str">
        <f>IF(G26="","","APL versée par la CAF")</f>
        <v/>
      </c>
      <c r="C26" s="30"/>
      <c r="D26" s="45" t="str">
        <f>IF(G26="","","Le: ")</f>
        <v/>
      </c>
      <c r="E26" s="46" t="str">
        <f>IF(G26="","",recap_L1!E19)</f>
        <v/>
      </c>
      <c r="F26" s="34"/>
      <c r="G26" s="47" t="str">
        <f>IF(Old_recap!D7=0,"",Old_recap!D7)</f>
        <v/>
      </c>
    </row>
    <row r="27" spans="1:8">
      <c r="B27" s="34" t="s">
        <v>28</v>
      </c>
      <c r="C27" s="30"/>
      <c r="D27" s="45" t="s">
        <v>29</v>
      </c>
      <c r="E27" s="46">
        <f>Old_recap!G7</f>
        <v>42738</v>
      </c>
      <c r="F27" s="34"/>
      <c r="G27" s="40">
        <f>Old_recap!F7</f>
        <v>850</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-410</v>
      </c>
    </row>
    <row r="37" spans="2:7">
      <c r="C37" s="2" t="s">
        <v>31</v>
      </c>
      <c r="D37" s="780">
        <f>quitt_01</f>
        <v>42738</v>
      </c>
      <c r="E37" s="780"/>
      <c r="F37" s="652"/>
    </row>
    <row r="39" spans="2:7" ht="18" customHeight="1"/>
  </sheetData>
  <sheetProtection selectLockedCells="1" selectUnlockedCells="1"/>
  <mergeCells count="9">
    <mergeCell ref="B24:E24"/>
    <mergeCell ref="F12:H12"/>
    <mergeCell ref="D12:E12"/>
    <mergeCell ref="D37:F37"/>
    <mergeCell ref="C1:G2"/>
    <mergeCell ref="G3:H3"/>
    <mergeCell ref="D14:E14"/>
    <mergeCell ref="F14:G14"/>
    <mergeCell ref="B23:E23"/>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39"/>
  <sheetViews>
    <sheetView workbookViewId="0">
      <selection activeCell="G3" sqref="G3:H3"/>
    </sheetView>
  </sheetViews>
  <sheetFormatPr baseColWidth="10" defaultRowHeight="12.75"/>
  <cols>
    <col min="1" max="1" width="16.5703125" customWidth="1"/>
    <col min="5" max="5" width="9.28515625" customWidth="1"/>
    <col min="8" max="8" width="6.85546875" customWidth="1"/>
  </cols>
  <sheetData>
    <row r="1" spans="1:8" ht="15">
      <c r="A1" s="27" t="str">
        <f>prop_nom</f>
        <v>Mr dubosq</v>
      </c>
      <c r="C1" s="797" t="s">
        <v>23</v>
      </c>
      <c r="D1" s="797"/>
      <c r="E1" s="797"/>
      <c r="F1" s="797"/>
      <c r="G1" s="797"/>
    </row>
    <row r="2" spans="1:8" ht="15">
      <c r="A2" s="27" t="str">
        <f>prop_adr</f>
        <v>6 rue des aules</v>
      </c>
      <c r="C2" s="797"/>
      <c r="D2" s="797"/>
      <c r="E2" s="797"/>
      <c r="F2" s="797"/>
      <c r="G2" s="797"/>
    </row>
    <row r="3" spans="1:8" ht="15.75">
      <c r="A3" s="27" t="str">
        <f>prop_cp&amp;" "&amp;prop_ville</f>
        <v>75960 tataouine</v>
      </c>
      <c r="G3" s="775" t="str">
        <f>recap_L1!A20</f>
        <v>Fevrier</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24.75" customHeight="1">
      <c r="D12" s="27"/>
      <c r="E12" s="197" t="s">
        <v>24</v>
      </c>
      <c r="F12" s="795" t="str">
        <f>Loc_02</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Old_recap!B8</f>
        <v>401</v>
      </c>
      <c r="G23" s="42"/>
    </row>
    <row r="24" spans="1:8" ht="15">
      <c r="B24" s="773" t="s">
        <v>15</v>
      </c>
      <c r="C24" s="773"/>
      <c r="D24" s="773"/>
      <c r="E24" s="773"/>
      <c r="F24" s="43">
        <f>Old_recap!C8</f>
        <v>41</v>
      </c>
      <c r="G24" s="40"/>
    </row>
    <row r="25" spans="1:8">
      <c r="B25" s="34"/>
      <c r="C25" s="30"/>
      <c r="D25" s="30"/>
      <c r="E25" s="30"/>
      <c r="F25" s="34"/>
      <c r="G25" s="40"/>
    </row>
    <row r="26" spans="1:8" ht="15">
      <c r="B26" s="44" t="str">
        <f>IF(G26="","","APL versée par la CAF")</f>
        <v/>
      </c>
      <c r="C26" s="30"/>
      <c r="D26" s="45" t="str">
        <f>IF(G26="","","Le: ")</f>
        <v/>
      </c>
      <c r="E26" s="46" t="str">
        <f>IF(G26="","",Old_recap!E8)</f>
        <v/>
      </c>
      <c r="F26" s="34"/>
      <c r="G26" s="47" t="str">
        <f>IF(Old_recap!D8=0,"",Old_recap!D8)</f>
        <v/>
      </c>
    </row>
    <row r="27" spans="1:8">
      <c r="B27" s="34" t="s">
        <v>28</v>
      </c>
      <c r="C27" s="30"/>
      <c r="D27" s="45" t="s">
        <v>29</v>
      </c>
      <c r="E27" s="46">
        <f>Old_recap!G8</f>
        <v>42737</v>
      </c>
      <c r="F27" s="34"/>
      <c r="G27" s="40">
        <f>Old_recap!F8</f>
        <v>851</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-409</v>
      </c>
    </row>
    <row r="37" spans="2:7">
      <c r="C37" s="2" t="s">
        <v>31</v>
      </c>
      <c r="D37" s="780">
        <f>quitt_02</f>
        <v>42768</v>
      </c>
      <c r="E37" s="780"/>
    </row>
    <row r="39" spans="2:7" ht="18" customHeight="1"/>
  </sheetData>
  <sheetProtection selectLockedCells="1" selectUnlockedCells="1"/>
  <mergeCells count="8">
    <mergeCell ref="D37:E37"/>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H39"/>
  <sheetViews>
    <sheetView workbookViewId="0">
      <selection activeCell="G3" sqref="G3:H3"/>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recap_L1!A21</f>
        <v>mars</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0" customHeight="1">
      <c r="D12" s="27"/>
      <c r="E12" s="307" t="s">
        <v>24</v>
      </c>
      <c r="F12" s="794" t="str">
        <f>IF(Loc_03&lt;&gt;"",Loc_03,"Locataire non renseigné")</f>
        <v>Mr Ali BEN ABDEL JELIL Ali  _x000D_
Mme BEN ABDEL JELIL Insaf</v>
      </c>
      <c r="G12" s="794"/>
      <c r="H12" s="794"/>
    </row>
    <row r="13" spans="1:8" ht="15">
      <c r="D13" s="27"/>
      <c r="F13" t="s">
        <v>25</v>
      </c>
    </row>
    <row r="14" spans="1:8" ht="15" customHeight="1">
      <c r="A14" s="309"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Old_recap!B9</f>
        <v>402</v>
      </c>
      <c r="G23" s="42"/>
    </row>
    <row r="24" spans="1:8" ht="15">
      <c r="B24" s="773" t="s">
        <v>15</v>
      </c>
      <c r="C24" s="773"/>
      <c r="D24" s="773"/>
      <c r="E24" s="773"/>
      <c r="F24" s="43">
        <f>Old_recap!C9</f>
        <v>42</v>
      </c>
      <c r="G24" s="40"/>
    </row>
    <row r="25" spans="1:8">
      <c r="B25" s="34"/>
      <c r="C25" s="30"/>
      <c r="D25" s="30"/>
      <c r="E25" s="30"/>
      <c r="F25" s="34"/>
      <c r="G25" s="40"/>
    </row>
    <row r="26" spans="1:8" ht="15">
      <c r="B26" s="44" t="str">
        <f>IF(G26="","","APL versée par la CAF")</f>
        <v/>
      </c>
      <c r="C26" s="30"/>
      <c r="D26" s="45" t="str">
        <f>IF(G26="","","Le: ")</f>
        <v/>
      </c>
      <c r="E26" s="310" t="str">
        <f>IF(G26="","",Old_recap!E9)</f>
        <v/>
      </c>
      <c r="F26" s="34"/>
      <c r="G26" s="47" t="str">
        <f>IF(Old_recap!D9=0,"",Old_recap!D9)</f>
        <v/>
      </c>
    </row>
    <row r="27" spans="1:8">
      <c r="B27" s="34" t="s">
        <v>28</v>
      </c>
      <c r="C27" s="30"/>
      <c r="D27" s="45" t="s">
        <v>29</v>
      </c>
      <c r="E27" s="46">
        <f>Old_recap!G9</f>
        <v>42737</v>
      </c>
      <c r="F27" s="34"/>
      <c r="G27" s="40">
        <f>Old_recap!F9</f>
        <v>852</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-408</v>
      </c>
    </row>
    <row r="37" spans="2:7">
      <c r="C37" s="2" t="s">
        <v>31</v>
      </c>
      <c r="D37" s="780">
        <f>Old_recap!K9</f>
        <v>0</v>
      </c>
      <c r="E37" s="780"/>
    </row>
    <row r="39" spans="2:7" ht="18" customHeight="1"/>
  </sheetData>
  <sheetProtection selectLockedCells="1" selectUnlockedCells="1"/>
  <mergeCells count="8">
    <mergeCell ref="D37:E37"/>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H39"/>
  <sheetViews>
    <sheetView workbookViewId="0">
      <selection activeCell="L16" sqref="L16"/>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Old_recap!A10</f>
        <v>Avril</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27" customHeight="1">
      <c r="D12" s="27"/>
      <c r="E12" s="323" t="s">
        <v>24</v>
      </c>
      <c r="F12" s="794" t="str">
        <f>IF(Loc_04&lt;&gt;"",Loc_04,"Locataire non renseigné")</f>
        <v>Mr Ali BEN ABDEL JELIL Ali  _x000D_
Mme BEN ABDEL JELIL Insaf</v>
      </c>
      <c r="G12" s="794"/>
      <c r="H12" s="794"/>
    </row>
    <row r="13" spans="1:8" ht="15">
      <c r="D13" s="27"/>
      <c r="F13" t="s">
        <v>25</v>
      </c>
    </row>
    <row r="14" spans="1:8" ht="17.2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Old_recap!B10</f>
        <v>403</v>
      </c>
      <c r="G23" s="42"/>
    </row>
    <row r="24" spans="1:8" ht="15">
      <c r="B24" s="773" t="s">
        <v>15</v>
      </c>
      <c r="C24" s="773"/>
      <c r="D24" s="773"/>
      <c r="E24" s="773"/>
      <c r="F24" s="43">
        <f>Old_recap!C10</f>
        <v>43</v>
      </c>
      <c r="G24" s="40"/>
    </row>
    <row r="25" spans="1:8">
      <c r="B25" s="34"/>
      <c r="C25" s="30"/>
      <c r="D25" s="30"/>
      <c r="E25" s="30"/>
      <c r="F25" s="34"/>
      <c r="G25" s="40"/>
    </row>
    <row r="26" spans="1:8" ht="15">
      <c r="B26" s="44" t="str">
        <f>IF(G26="","","APL versée par la CAF")</f>
        <v/>
      </c>
      <c r="C26" s="30"/>
      <c r="D26" s="45" t="str">
        <f>IF(G26="","","Le: ")</f>
        <v/>
      </c>
      <c r="E26" s="46" t="str">
        <f>IF(G26="","",Old_recap!E10)</f>
        <v/>
      </c>
      <c r="F26" s="34"/>
      <c r="G26" s="47" t="str">
        <f>IF(Old_recap!D10=0,"",Old_recap!D10)</f>
        <v/>
      </c>
    </row>
    <row r="27" spans="1:8">
      <c r="B27" s="34" t="s">
        <v>28</v>
      </c>
      <c r="C27" s="30"/>
      <c r="D27" s="45" t="s">
        <v>29</v>
      </c>
      <c r="E27" s="46">
        <f>Old_recap!G10</f>
        <v>42737</v>
      </c>
      <c r="F27" s="34"/>
      <c r="G27" s="40">
        <f>Old_recap!F10</f>
        <v>853</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1">
        <f>SUM(F23:F24)-SUM(G23:G27)</f>
        <v>-407</v>
      </c>
    </row>
    <row r="37" spans="2:7">
      <c r="C37" s="2" t="s">
        <v>31</v>
      </c>
      <c r="D37" s="780">
        <f>Old_recap!K10</f>
        <v>0</v>
      </c>
      <c r="E37" s="780"/>
    </row>
    <row r="39" spans="2:7" ht="18" customHeight="1"/>
  </sheetData>
  <sheetProtection selectLockedCells="1" selectUnlockedCells="1"/>
  <mergeCells count="8">
    <mergeCell ref="D37:E37"/>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H39"/>
  <sheetViews>
    <sheetView topLeftCell="A10" workbookViewId="0">
      <selection activeCell="E39" sqref="E39:F39"/>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Old_recap!A11</f>
        <v>Mai</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2" t="s">
        <v>24</v>
      </c>
      <c r="F12" s="795" t="str">
        <f>IF(Loc_05&lt;&gt;"",Loc_05,"Locataire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Old_recap!B11</f>
        <v>404</v>
      </c>
      <c r="G23" s="42"/>
    </row>
    <row r="24" spans="1:8" ht="15">
      <c r="B24" s="773" t="s">
        <v>15</v>
      </c>
      <c r="C24" s="773"/>
      <c r="D24" s="773"/>
      <c r="E24" s="773"/>
      <c r="F24" s="43">
        <f>Old_recap!C11</f>
        <v>44</v>
      </c>
      <c r="G24" s="40"/>
    </row>
    <row r="25" spans="1:8">
      <c r="B25" s="34"/>
      <c r="C25" s="30"/>
      <c r="D25" s="30"/>
      <c r="E25" s="30"/>
      <c r="F25" s="34"/>
      <c r="G25" s="40"/>
    </row>
    <row r="26" spans="1:8" ht="15">
      <c r="B26" s="44" t="str">
        <f>IF(G26="","","APL versée par la CAF")</f>
        <v/>
      </c>
      <c r="C26" s="30"/>
      <c r="D26" s="45" t="str">
        <f>IF(G26="","","Le: ")</f>
        <v/>
      </c>
      <c r="E26" s="46" t="str">
        <f>IF(G26="","",recap_L1!E23)</f>
        <v/>
      </c>
      <c r="F26" s="34"/>
      <c r="G26" s="47" t="str">
        <f>IF(Old_recap!D11=0,"",Old_recap!D11)</f>
        <v/>
      </c>
    </row>
    <row r="27" spans="1:8">
      <c r="B27" s="34" t="s">
        <v>28</v>
      </c>
      <c r="C27" s="30"/>
      <c r="D27" s="45" t="s">
        <v>29</v>
      </c>
      <c r="E27" s="46">
        <f>Old_recap!G11</f>
        <v>42737</v>
      </c>
      <c r="F27" s="34"/>
      <c r="G27" s="40">
        <f>Old_recap!F11</f>
        <v>854</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-406</v>
      </c>
    </row>
    <row r="39" spans="2:7" ht="18" customHeight="1">
      <c r="D39" s="2" t="s">
        <v>31</v>
      </c>
      <c r="E39" s="780">
        <f>Old_recap!K11</f>
        <v>0</v>
      </c>
      <c r="F39" s="780"/>
    </row>
  </sheetData>
  <sheetProtection selectLockedCells="1" selectUnlockedCells="1"/>
  <mergeCells count="8">
    <mergeCell ref="E39:F39"/>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39"/>
  <sheetViews>
    <sheetView workbookViewId="0">
      <selection activeCell="C8" sqref="C8"/>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Old_recap!A12</f>
        <v>Juin</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4" t="s">
        <v>24</v>
      </c>
      <c r="F12" s="795" t="str">
        <f>IF(Loc_06&lt;&gt;"",Loc_06,"Locataire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Old_recap!B12</f>
        <v>405</v>
      </c>
      <c r="G23" s="42"/>
    </row>
    <row r="24" spans="1:8" ht="15">
      <c r="B24" s="773" t="s">
        <v>15</v>
      </c>
      <c r="C24" s="773"/>
      <c r="D24" s="773"/>
      <c r="E24" s="773"/>
      <c r="F24" s="43">
        <f>Old_recap!C12</f>
        <v>45</v>
      </c>
      <c r="G24" s="40"/>
    </row>
    <row r="25" spans="1:8">
      <c r="B25" s="34" t="s">
        <v>423</v>
      </c>
      <c r="C25" s="30"/>
      <c r="D25" s="30"/>
      <c r="E25" s="30"/>
      <c r="F25" s="34">
        <v>-180</v>
      </c>
      <c r="G25" s="40"/>
    </row>
    <row r="26" spans="1:8" ht="15">
      <c r="B26" s="44" t="str">
        <f>IF(G26="","","APL versée par la CAF")</f>
        <v/>
      </c>
      <c r="C26" s="30"/>
      <c r="D26" s="45" t="str">
        <f>IF(G26="","","Le: ")</f>
        <v/>
      </c>
      <c r="E26" s="46" t="str">
        <f>IF(G26="","",recap_L1!E24)</f>
        <v/>
      </c>
      <c r="F26" s="34"/>
      <c r="G26" s="47" t="str">
        <f>IF(Old_recap!D12=0,"",Old_recap!D12)</f>
        <v/>
      </c>
    </row>
    <row r="27" spans="1:8">
      <c r="B27" s="34" t="s">
        <v>28</v>
      </c>
      <c r="C27" s="30"/>
      <c r="D27" s="45" t="s">
        <v>29</v>
      </c>
      <c r="E27" s="46">
        <f>Old_recap!G12</f>
        <v>42737</v>
      </c>
      <c r="F27" s="34"/>
      <c r="G27" s="40">
        <f>Old_recap!F12</f>
        <v>855</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SUM(F23:F25)-SUM(G23:G27)</f>
        <v>-585</v>
      </c>
    </row>
    <row r="38" spans="2:7">
      <c r="C38" s="2" t="s">
        <v>31</v>
      </c>
      <c r="D38" s="780">
        <f>Old_recap!K12</f>
        <v>0</v>
      </c>
      <c r="E38" s="780"/>
    </row>
    <row r="39" spans="2:7" ht="18" customHeight="1"/>
  </sheetData>
  <sheetProtection selectLockedCells="1" selectUnlockedCells="1"/>
  <mergeCells count="8">
    <mergeCell ref="D38:E38"/>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H39"/>
  <sheetViews>
    <sheetView workbookViewId="0">
      <selection activeCell="D39" sqref="D39"/>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Old_recap!A13</f>
        <v>Juillet</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4" t="s">
        <v>24</v>
      </c>
      <c r="F12" s="795" t="str">
        <f>IF(Loc_07&lt;&gt;"",Loc_07,"Locataire non renseigné")</f>
        <v>Mr Ali BEN ABDEL JELIL Ali  _x000D_
Mme BEN ABDEL JELIL Insaf</v>
      </c>
      <c r="G12" s="795"/>
      <c r="H12" s="795"/>
    </row>
    <row r="13" spans="1:8" ht="15">
      <c r="D13" s="27"/>
      <c r="F13" t="s">
        <v>25</v>
      </c>
    </row>
    <row r="14" spans="1:8" ht="12.75" customHeight="1">
      <c r="A14" s="25" t="e">
        <f>Log_adr</f>
        <v>#N/A</v>
      </c>
      <c r="B14" s="26"/>
      <c r="C14" s="26"/>
      <c r="D14" s="777" t="s">
        <v>26</v>
      </c>
      <c r="E14" s="777"/>
      <c r="F14" s="778" t="e">
        <f>Log_nom</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Old_recap!B13</f>
        <v>720</v>
      </c>
      <c r="G23" s="42"/>
    </row>
    <row r="24" spans="1:8" ht="15">
      <c r="B24" s="773" t="s">
        <v>15</v>
      </c>
      <c r="C24" s="773"/>
      <c r="D24" s="773"/>
      <c r="E24" s="773"/>
      <c r="F24" s="43">
        <f>Old_recap!C13</f>
        <v>130</v>
      </c>
      <c r="G24" s="40"/>
    </row>
    <row r="25" spans="1:8">
      <c r="B25" s="34"/>
      <c r="C25" s="30"/>
      <c r="D25" s="30"/>
      <c r="E25" s="30"/>
      <c r="F25" s="34"/>
      <c r="G25" s="40"/>
    </row>
    <row r="26" spans="1:8" ht="15">
      <c r="B26" s="44" t="str">
        <f>IF(G26="","","APL versée par la CAF")</f>
        <v/>
      </c>
      <c r="C26" s="30"/>
      <c r="D26" s="45" t="str">
        <f>IF(G26="","","Le: ")</f>
        <v/>
      </c>
      <c r="E26" s="46" t="str">
        <f>IF(G26="","",recap_L1!E25)</f>
        <v/>
      </c>
      <c r="F26" s="34"/>
      <c r="G26" s="47" t="str">
        <f>IF(Old_recap!D13=0,"",Old_recap!D13)</f>
        <v/>
      </c>
    </row>
    <row r="27" spans="1:8">
      <c r="B27" s="34" t="s">
        <v>28</v>
      </c>
      <c r="C27" s="30"/>
      <c r="D27" s="45" t="s">
        <v>29</v>
      </c>
      <c r="E27" s="46">
        <f>Old_recap!G13</f>
        <v>42737</v>
      </c>
      <c r="F27" s="34"/>
      <c r="G27" s="40">
        <f>Old_recap!F13</f>
        <v>856</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-6</v>
      </c>
    </row>
    <row r="38" spans="2:7">
      <c r="C38" s="2" t="s">
        <v>31</v>
      </c>
      <c r="D38" s="780">
        <f>Old_recap!K13</f>
        <v>0</v>
      </c>
      <c r="E38" s="780"/>
    </row>
    <row r="39" spans="2:7" ht="18" customHeight="1"/>
  </sheetData>
  <sheetProtection selectLockedCells="1" selectUnlockedCells="1"/>
  <mergeCells count="8">
    <mergeCell ref="D38:E38"/>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H39"/>
  <sheetViews>
    <sheetView workbookViewId="0">
      <selection activeCell="A12" sqref="A12:XFD12"/>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Old_recap!A14</f>
        <v>Aout</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4" t="s">
        <v>24</v>
      </c>
      <c r="F12" s="795" t="str">
        <f>IF(Loc_08&lt;&gt;"",Loc_08,"Locataire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recap_L1!B26</f>
        <v>290</v>
      </c>
      <c r="G23" s="42"/>
    </row>
    <row r="24" spans="1:8" ht="15">
      <c r="B24" s="773" t="s">
        <v>15</v>
      </c>
      <c r="C24" s="773"/>
      <c r="D24" s="773"/>
      <c r="E24" s="773"/>
      <c r="F24" s="43">
        <f>recap_L1!C26</f>
        <v>50</v>
      </c>
      <c r="G24" s="40"/>
    </row>
    <row r="25" spans="1:8">
      <c r="B25" s="34"/>
      <c r="C25" s="30"/>
      <c r="D25" s="30"/>
      <c r="E25" s="30"/>
      <c r="F25" s="34"/>
      <c r="G25" s="40"/>
    </row>
    <row r="26" spans="1:8" ht="15">
      <c r="B26" s="44" t="str">
        <f>IF(G26="","","APL versée par la CAF")</f>
        <v>APL versée par la CAF</v>
      </c>
      <c r="C26" s="30"/>
      <c r="D26" s="45" t="str">
        <f>IF(G26="","","Le :")</f>
        <v>Le :</v>
      </c>
      <c r="E26" s="46">
        <f>IF(G26="","",recap_L1!E26)</f>
        <v>42950</v>
      </c>
      <c r="F26" s="34"/>
      <c r="G26" s="47">
        <f>IF(recap_L1!D26&gt;0,recap_L1!D26,"")</f>
        <v>272</v>
      </c>
    </row>
    <row r="27" spans="1:8">
      <c r="B27" s="34" t="s">
        <v>28</v>
      </c>
      <c r="C27" s="30"/>
      <c r="D27" s="45" t="s">
        <v>29</v>
      </c>
      <c r="E27" s="46">
        <f>recap_L1!G26</f>
        <v>42958</v>
      </c>
      <c r="F27" s="34"/>
      <c r="G27" s="40">
        <f>recap_L1!F26</f>
        <v>68</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0</v>
      </c>
    </row>
    <row r="38" spans="2:7">
      <c r="C38" s="2" t="s">
        <v>31</v>
      </c>
      <c r="D38" s="798">
        <f>recap_L1!K26</f>
        <v>42956</v>
      </c>
      <c r="E38" s="798"/>
    </row>
    <row r="39" spans="2:7" ht="18" customHeight="1"/>
  </sheetData>
  <sheetProtection selectLockedCells="1" selectUnlockedCells="1"/>
  <mergeCells count="8">
    <mergeCell ref="D38:E38"/>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H39"/>
  <sheetViews>
    <sheetView workbookViewId="0">
      <selection activeCell="A12" sqref="A12:XFD12"/>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Old_recap!A15</f>
        <v>Septembre</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4" t="s">
        <v>24</v>
      </c>
      <c r="F12" s="795" t="str">
        <f>IF(Loc_09&lt;&gt;"",Loc_09,"Locataire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Old_recap!B15</f>
        <v>720</v>
      </c>
      <c r="G23" s="42"/>
    </row>
    <row r="24" spans="1:8" ht="15">
      <c r="B24" s="773" t="s">
        <v>15</v>
      </c>
      <c r="C24" s="773"/>
      <c r="D24" s="773"/>
      <c r="E24" s="773"/>
      <c r="F24" s="43">
        <f>Old_recap!C15</f>
        <v>130</v>
      </c>
      <c r="G24" s="40"/>
    </row>
    <row r="25" spans="1:8">
      <c r="B25" s="34"/>
      <c r="C25" s="30"/>
      <c r="D25" s="30"/>
      <c r="E25" s="30"/>
      <c r="F25" s="34"/>
      <c r="G25" s="40"/>
    </row>
    <row r="26" spans="1:8" ht="15">
      <c r="B26" s="44" t="str">
        <f>IF(G26="","","APL versée par la CAF")</f>
        <v/>
      </c>
      <c r="C26" s="30"/>
      <c r="D26" s="45" t="str">
        <f>IF(G26="","","Le: ")</f>
        <v/>
      </c>
      <c r="E26" s="46" t="str">
        <f>IF(G26="","",Old_recap!E15)</f>
        <v/>
      </c>
      <c r="F26" s="34"/>
      <c r="G26" s="47" t="str">
        <f>IF(Old_recap!D15=0,"",Old_recap!D15)</f>
        <v/>
      </c>
    </row>
    <row r="27" spans="1:8">
      <c r="B27" s="34" t="s">
        <v>28</v>
      </c>
      <c r="C27" s="30"/>
      <c r="D27" s="45" t="s">
        <v>29</v>
      </c>
      <c r="E27" s="46">
        <f>Old_recap!G15</f>
        <v>42737</v>
      </c>
      <c r="F27" s="34"/>
      <c r="G27" s="40">
        <f>Old_recap!F15</f>
        <v>858</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-8</v>
      </c>
    </row>
    <row r="38" spans="2:7">
      <c r="C38" s="2" t="s">
        <v>31</v>
      </c>
      <c r="D38" s="780">
        <f>quitt_09</f>
        <v>0</v>
      </c>
      <c r="E38" s="780"/>
      <c r="F38" s="652"/>
    </row>
    <row r="39" spans="2:7" ht="18" customHeight="1"/>
  </sheetData>
  <sheetProtection selectLockedCells="1" selectUnlockedCells="1"/>
  <mergeCells count="8">
    <mergeCell ref="B24:E24"/>
    <mergeCell ref="D38:F38"/>
    <mergeCell ref="C1:G2"/>
    <mergeCell ref="G3:H3"/>
    <mergeCell ref="D14:E14"/>
    <mergeCell ref="F14:G14"/>
    <mergeCell ref="B23:E23"/>
    <mergeCell ref="F12:H12"/>
  </mergeCells>
  <pageMargins left="0.35972222222222222" right="0.27986111111111112" top="0.77986111111111112" bottom="0.98402777777777772" header="0.51180555555555551" footer="0.51180555555555551"/>
  <pageSetup paperSize="9" firstPageNumber="0" orientation="portrait" r:id="rId1"/>
  <headerFooter alignWithMargins="0"/>
  <drawing r:id="rId2"/>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H39"/>
  <sheetViews>
    <sheetView workbookViewId="0">
      <selection activeCell="A12" sqref="A12:XFD12"/>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Old_recap!A16</f>
        <v>Octobre</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c r="E12" s="354" t="s">
        <v>24</v>
      </c>
      <c r="F12" s="795" t="str">
        <f>IF(Loc_10&lt;&gt;"",Loc_10,"Locataire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Old_recap!B16</f>
        <v>720</v>
      </c>
      <c r="G23" s="42"/>
    </row>
    <row r="24" spans="1:8" ht="15">
      <c r="B24" s="773" t="s">
        <v>15</v>
      </c>
      <c r="C24" s="773"/>
      <c r="D24" s="773"/>
      <c r="E24" s="773"/>
      <c r="F24" s="43">
        <f>Old_recap!C16</f>
        <v>130</v>
      </c>
      <c r="G24" s="40"/>
    </row>
    <row r="25" spans="1:8">
      <c r="B25" s="34"/>
      <c r="C25" s="30"/>
      <c r="D25" s="30"/>
      <c r="E25" s="30"/>
      <c r="F25" s="34"/>
      <c r="G25" s="40"/>
    </row>
    <row r="26" spans="1:8" ht="15">
      <c r="B26" s="44" t="str">
        <f>IF(G26="","","APL versée par la CAF")</f>
        <v/>
      </c>
      <c r="C26" s="30"/>
      <c r="D26" s="45" t="str">
        <f>IF(G26="","","Le: ")</f>
        <v/>
      </c>
      <c r="E26" s="46" t="str">
        <f>IF(G26="","",Old_recap!E16)</f>
        <v/>
      </c>
      <c r="F26" s="34"/>
      <c r="G26" s="47" t="str">
        <f>IF(Old_recap!D16=0,"",Old_recap!D16)</f>
        <v/>
      </c>
    </row>
    <row r="27" spans="1:8">
      <c r="B27" s="34" t="s">
        <v>28</v>
      </c>
      <c r="C27" s="30"/>
      <c r="D27" s="45" t="s">
        <v>29</v>
      </c>
      <c r="E27" s="46">
        <f>Old_recap!G16</f>
        <v>42738</v>
      </c>
      <c r="F27" s="34"/>
      <c r="G27" s="40">
        <f>Old_recap!F16</f>
        <v>859</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-9</v>
      </c>
    </row>
    <row r="38" spans="2:7">
      <c r="C38" s="2" t="s">
        <v>31</v>
      </c>
      <c r="D38" s="780">
        <f>quitt_10</f>
        <v>0</v>
      </c>
      <c r="E38" s="780"/>
    </row>
    <row r="39" spans="2:7" ht="18" customHeight="1"/>
  </sheetData>
  <sheetProtection selectLockedCells="1" selectUnlockedCells="1"/>
  <mergeCells count="8">
    <mergeCell ref="D38:E38"/>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r:id="rId1"/>
  <headerFooter alignWithMargins="0"/>
  <drawing r:id="rId2"/>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H39"/>
  <sheetViews>
    <sheetView workbookViewId="0">
      <selection activeCell="A12" sqref="A12:XFD12"/>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Old_recap!A17</f>
        <v>Novembre</v>
      </c>
      <c r="H3" s="775"/>
    </row>
    <row r="4" spans="1:8" ht="15">
      <c r="A4" s="27"/>
    </row>
    <row r="5" spans="1:8" ht="15">
      <c r="A5" s="27" t="str">
        <f>"Téléphone : "&amp;prop_tel</f>
        <v>Téléphone : 01 02 03 04 05</v>
      </c>
    </row>
    <row r="6" spans="1:8" ht="15">
      <c r="A6" s="28" t="str">
        <f>prop_portable_lib&amp;prop_portable</f>
        <v>Portable:  06 07 06 07 06</v>
      </c>
    </row>
    <row r="7" spans="1:8" ht="15">
      <c r="A7" s="28" t="str">
        <f>prop_mail_lib&amp;prop_mail</f>
        <v>Email :  demo38@gmail.com</v>
      </c>
    </row>
    <row r="8" spans="1:8" ht="15">
      <c r="A8" s="27"/>
    </row>
    <row r="12" spans="1:8" ht="32.25" customHeight="1">
      <c r="D12" s="27" t="s">
        <v>24</v>
      </c>
      <c r="E12" s="354"/>
      <c r="F12" s="795" t="str">
        <f>IF(Loc_11&lt;&gt;"",Loc_11,"Locataire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Old_recap!B17</f>
        <v>720</v>
      </c>
      <c r="G23" s="42"/>
    </row>
    <row r="24" spans="1:8" ht="15">
      <c r="B24" s="773" t="s">
        <v>15</v>
      </c>
      <c r="C24" s="773"/>
      <c r="D24" s="773"/>
      <c r="E24" s="773"/>
      <c r="F24" s="43">
        <f>Old_recap!C17</f>
        <v>130</v>
      </c>
      <c r="G24" s="40"/>
    </row>
    <row r="25" spans="1:8">
      <c r="B25" s="34"/>
      <c r="C25" s="30"/>
      <c r="D25" s="30"/>
      <c r="E25" s="30"/>
      <c r="F25" s="34"/>
      <c r="G25" s="40"/>
    </row>
    <row r="26" spans="1:8" ht="15">
      <c r="B26" s="44" t="str">
        <f>IF(G26="","","Loyer versé par le FSL")</f>
        <v/>
      </c>
      <c r="C26" s="30"/>
      <c r="D26" s="45" t="str">
        <f>IF(G26="","","Le: ")</f>
        <v/>
      </c>
      <c r="E26" s="46" t="str">
        <f>IF(G26="","",Old_recap!E17)</f>
        <v/>
      </c>
      <c r="F26" s="34"/>
      <c r="G26" s="47" t="str">
        <f>IF(Old_recap!D17=0,"",Old_recap!D17)</f>
        <v/>
      </c>
    </row>
    <row r="27" spans="1:8">
      <c r="B27" s="34" t="s">
        <v>28</v>
      </c>
      <c r="C27" s="30"/>
      <c r="D27" s="45" t="s">
        <v>29</v>
      </c>
      <c r="E27" s="46">
        <f>Old_recap!G17</f>
        <v>42737</v>
      </c>
      <c r="F27" s="34"/>
      <c r="G27" s="40">
        <f>Old_recap!F17</f>
        <v>860</v>
      </c>
    </row>
    <row r="28" spans="1:8">
      <c r="B28" s="34"/>
      <c r="C28" s="30"/>
      <c r="D28" s="30"/>
      <c r="E28" s="30"/>
      <c r="F28" s="34"/>
      <c r="G28" s="40"/>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SUM(F23:F24)-SUM(G23:G27)</f>
        <v>-10</v>
      </c>
    </row>
    <row r="38" spans="2:7">
      <c r="C38" s="2" t="s">
        <v>31</v>
      </c>
      <c r="D38" s="799">
        <f>quitt_11</f>
        <v>0</v>
      </c>
      <c r="E38" s="799"/>
    </row>
    <row r="39" spans="2:7" ht="18" customHeight="1"/>
  </sheetData>
  <sheetProtection selectLockedCells="1" selectUnlockedCells="1"/>
  <mergeCells count="8">
    <mergeCell ref="D38:E38"/>
    <mergeCell ref="C1:G2"/>
    <mergeCell ref="G3:H3"/>
    <mergeCell ref="D14:E14"/>
    <mergeCell ref="F14:G14"/>
    <mergeCell ref="B23:E23"/>
    <mergeCell ref="B24:E24"/>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H39"/>
  <sheetViews>
    <sheetView workbookViewId="0">
      <selection sqref="A1:XFD1048576"/>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23</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Old_recap!A18</f>
        <v>Decembre</v>
      </c>
      <c r="H3" s="775"/>
    </row>
    <row r="4" spans="1:8" ht="15">
      <c r="A4" s="27"/>
    </row>
    <row r="5" spans="1:8" ht="15">
      <c r="A5" s="27" t="str">
        <f>"Téléphone : "&amp;prop_tel</f>
        <v>Téléphone : 01 02 03 04 05</v>
      </c>
    </row>
    <row r="6" spans="1:8" ht="15">
      <c r="A6" s="27"/>
    </row>
    <row r="7" spans="1:8" ht="15">
      <c r="A7" s="27"/>
    </row>
    <row r="8" spans="1:8" ht="15">
      <c r="A8" s="27"/>
    </row>
    <row r="12" spans="1:8" ht="32.25" customHeight="1">
      <c r="D12" s="27"/>
      <c r="E12" s="354" t="s">
        <v>24</v>
      </c>
      <c r="F12" s="795" t="str">
        <f>IF(Loc_12&lt;&gt;"",Loc_12,"Locataire non renseigné")</f>
        <v>Mr Ali BEN ABDEL JELIL Ali  _x000D_
Mme BEN ABDEL JELIL Insaf</v>
      </c>
      <c r="G12" s="795"/>
      <c r="H12" s="795"/>
    </row>
    <row r="13" spans="1:8" ht="15">
      <c r="D13" s="27"/>
      <c r="F13"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9</v>
      </c>
      <c r="C23" s="773"/>
      <c r="D23" s="773"/>
      <c r="E23" s="773"/>
      <c r="F23" s="41">
        <f>Old_recap!B18</f>
        <v>720</v>
      </c>
      <c r="G23" s="42"/>
    </row>
    <row r="24" spans="1:8" ht="15">
      <c r="B24" s="773" t="s">
        <v>15</v>
      </c>
      <c r="C24" s="773"/>
      <c r="D24" s="773"/>
      <c r="E24" s="773"/>
      <c r="F24" s="43">
        <f>Old_recap!C18</f>
        <v>130</v>
      </c>
      <c r="G24" s="40"/>
    </row>
    <row r="25" spans="1:8">
      <c r="B25" s="34"/>
      <c r="C25" s="30"/>
      <c r="D25" s="30"/>
      <c r="E25" s="30"/>
      <c r="F25" s="34"/>
      <c r="G25" s="40"/>
    </row>
    <row r="26" spans="1:8" ht="15">
      <c r="B26" s="44" t="str">
        <f>IF(G26="","","APL versée par la CAF")</f>
        <v/>
      </c>
      <c r="C26" s="30"/>
      <c r="D26" s="45" t="str">
        <f>IF(G26="","","Le: ")</f>
        <v/>
      </c>
      <c r="E26" s="46" t="str">
        <f>IF(G26="","",Old_recap!E18)</f>
        <v/>
      </c>
      <c r="F26" s="34"/>
      <c r="G26" s="47" t="str">
        <f>IF(Old_recap!D18=0,"",Old_recap!D18)</f>
        <v/>
      </c>
    </row>
    <row r="27" spans="1:8">
      <c r="B27" s="34" t="s">
        <v>28</v>
      </c>
      <c r="C27" s="30"/>
      <c r="D27" s="45" t="s">
        <v>29</v>
      </c>
      <c r="E27" s="46">
        <f>Old_recap!G18</f>
        <v>42737</v>
      </c>
      <c r="F27" s="34"/>
      <c r="G27" s="40">
        <f>Old_recap!F18</f>
        <v>860</v>
      </c>
    </row>
    <row r="28" spans="1:8">
      <c r="B28" s="34" t="str">
        <f>IF(G28="","",Old_recap!I18)</f>
        <v/>
      </c>
      <c r="C28" s="30"/>
      <c r="D28" s="30"/>
      <c r="E28" s="30"/>
      <c r="F28" s="34"/>
      <c r="G28" s="154" t="str">
        <f>IF(Old_recap!H18&gt;0,Old_recap!H18,"")</f>
        <v/>
      </c>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50">
        <f>SUM(F23:F32)-SUM(G23:G32)</f>
        <v>-10</v>
      </c>
    </row>
    <row r="38" spans="2:7">
      <c r="C38" s="2" t="s">
        <v>31</v>
      </c>
      <c r="D38" s="800">
        <f>quitt_12</f>
        <v>0</v>
      </c>
      <c r="E38" s="800"/>
      <c r="F38" s="652"/>
    </row>
    <row r="39" spans="2:7" ht="18" customHeight="1"/>
  </sheetData>
  <sheetProtection selectLockedCells="1" selectUnlockedCells="1"/>
  <mergeCells count="8">
    <mergeCell ref="B24:E24"/>
    <mergeCell ref="D38:F38"/>
    <mergeCell ref="C1:G2"/>
    <mergeCell ref="G3:H3"/>
    <mergeCell ref="D14:E14"/>
    <mergeCell ref="F14:G14"/>
    <mergeCell ref="B23:E23"/>
    <mergeCell ref="F12:H12"/>
  </mergeCells>
  <pageMargins left="0.35972222222222222" right="0.27986111111111112" top="0.77986111111111112" bottom="0.98402777777777772" header="0.51180555555555551" footer="0.51180555555555551"/>
  <pageSetup paperSize="9" firstPageNumber="0" orientation="portrait" horizontalDpi="300" verticalDpi="300" r:id="rId1"/>
  <headerFooter alignWithMargins="0"/>
  <drawing r:id="rId2"/>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dimension ref="A1:H39"/>
  <sheetViews>
    <sheetView topLeftCell="A4" workbookViewId="0">
      <selection activeCell="E30" sqref="E30"/>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tr">
        <f>prop_nom</f>
        <v>Mr dubosq</v>
      </c>
      <c r="C1" s="774" t="s">
        <v>440</v>
      </c>
      <c r="D1" s="774"/>
      <c r="E1" s="774"/>
      <c r="F1" s="774"/>
      <c r="G1" s="774"/>
    </row>
    <row r="2" spans="1:8" ht="15">
      <c r="A2" s="27" t="str">
        <f>prop_adr</f>
        <v>6 rue des aules</v>
      </c>
      <c r="C2" s="774"/>
      <c r="D2" s="774"/>
      <c r="E2" s="774"/>
      <c r="F2" s="774"/>
      <c r="G2" s="774"/>
    </row>
    <row r="3" spans="1:8" ht="15.75">
      <c r="A3" s="27" t="str">
        <f>prop_cp&amp;" "&amp;prop_ville</f>
        <v>75960 tataouine</v>
      </c>
      <c r="G3" s="775" t="str">
        <f>Old_recap!A13</f>
        <v>Juillet</v>
      </c>
      <c r="H3" s="775"/>
    </row>
    <row r="4" spans="1:8" ht="15">
      <c r="A4" s="27"/>
    </row>
    <row r="5" spans="1:8" ht="15">
      <c r="A5" s="27" t="str">
        <f>"Téléphone : "&amp;prop_tel</f>
        <v>Téléphone : 01 02 03 04 05</v>
      </c>
    </row>
    <row r="6" spans="1:8" ht="15">
      <c r="A6" s="27"/>
    </row>
    <row r="7" spans="1:8" ht="15">
      <c r="A7" s="27"/>
    </row>
    <row r="8" spans="1:8" ht="15">
      <c r="A8" s="27"/>
    </row>
    <row r="12" spans="1:8" ht="32.25" customHeight="1">
      <c r="D12" s="27"/>
      <c r="E12" s="367" t="s">
        <v>24</v>
      </c>
      <c r="F12" s="776" t="s">
        <v>439</v>
      </c>
      <c r="G12" s="776"/>
      <c r="H12" s="776"/>
    </row>
    <row r="13" spans="1:8" ht="15">
      <c r="D13" s="27"/>
      <c r="F13" s="368" t="s">
        <v>25</v>
      </c>
    </row>
    <row r="14" spans="1:8" ht="12.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8" ht="15" customHeight="1">
      <c r="A17" s="26"/>
      <c r="B17" s="26"/>
      <c r="C17" s="26"/>
      <c r="D17" s="27"/>
      <c r="E17" s="27"/>
      <c r="F17" s="28"/>
      <c r="G17" s="28"/>
      <c r="H17" s="28"/>
    </row>
    <row r="18" spans="1:8" ht="12.75" customHeight="1">
      <c r="A18" s="30"/>
      <c r="B18" s="30"/>
      <c r="C18" s="30"/>
    </row>
    <row r="19" spans="1:8" ht="6" customHeight="1">
      <c r="B19" s="31"/>
      <c r="C19" s="32"/>
      <c r="D19" s="32"/>
      <c r="E19" s="32"/>
      <c r="F19" s="31"/>
      <c r="G19" s="33"/>
    </row>
    <row r="20" spans="1:8" ht="19.5" customHeight="1">
      <c r="B20" s="34"/>
      <c r="C20" s="30"/>
      <c r="D20" s="30"/>
      <c r="E20" s="30"/>
      <c r="F20" s="35"/>
      <c r="G20" s="36" t="s">
        <v>27</v>
      </c>
    </row>
    <row r="21" spans="1:8">
      <c r="B21" s="37"/>
      <c r="C21" s="38"/>
      <c r="D21" s="38"/>
      <c r="E21" s="38"/>
      <c r="F21" s="37"/>
      <c r="G21" s="39"/>
    </row>
    <row r="22" spans="1:8">
      <c r="B22" s="34"/>
      <c r="C22" s="30"/>
      <c r="D22" s="30"/>
      <c r="E22" s="30"/>
      <c r="F22" s="34"/>
      <c r="G22" s="40"/>
    </row>
    <row r="23" spans="1:8" ht="15">
      <c r="B23" s="773" t="s">
        <v>435</v>
      </c>
      <c r="C23" s="773"/>
      <c r="D23" s="773"/>
      <c r="E23" s="773"/>
      <c r="F23" s="41">
        <v>425</v>
      </c>
      <c r="G23" s="42"/>
    </row>
    <row r="24" spans="1:8" ht="15">
      <c r="B24" s="773" t="s">
        <v>436</v>
      </c>
      <c r="C24" s="773"/>
      <c r="D24" s="773"/>
      <c r="E24" s="773"/>
      <c r="F24" s="43" t="s">
        <v>25</v>
      </c>
      <c r="G24" s="369">
        <v>720</v>
      </c>
    </row>
    <row r="25" spans="1:8">
      <c r="B25" s="34" t="s">
        <v>437</v>
      </c>
      <c r="C25" s="30"/>
      <c r="D25" s="30"/>
      <c r="E25" s="30"/>
      <c r="F25" s="34">
        <v>25</v>
      </c>
      <c r="G25" s="40"/>
    </row>
    <row r="26" spans="1:8" ht="15">
      <c r="B26" s="44" t="s">
        <v>438</v>
      </c>
      <c r="C26" s="30"/>
      <c r="D26" s="45"/>
      <c r="E26" s="46"/>
      <c r="F26" s="34"/>
      <c r="G26" s="369">
        <v>135.4</v>
      </c>
    </row>
    <row r="27" spans="1:8">
      <c r="B27" s="34"/>
      <c r="C27" s="30"/>
      <c r="D27" s="45"/>
      <c r="E27" s="46"/>
      <c r="F27" s="34"/>
      <c r="G27" s="40"/>
    </row>
    <row r="28" spans="1:8">
      <c r="B28" s="34" t="str">
        <f>IF(G28="","",Old_recap!I18)</f>
        <v/>
      </c>
      <c r="C28" s="30"/>
      <c r="D28" s="30"/>
      <c r="E28" s="30"/>
      <c r="F28" s="34"/>
      <c r="G28" s="154" t="str">
        <f>IF(Old_recap!H18&gt;0,Old_recap!H18,"")</f>
        <v/>
      </c>
    </row>
    <row r="29" spans="1:8">
      <c r="B29" s="34"/>
      <c r="C29" s="30"/>
      <c r="D29" s="30"/>
      <c r="E29" s="30"/>
      <c r="F29" s="34"/>
      <c r="G29" s="40"/>
    </row>
    <row r="30" spans="1:8">
      <c r="B30" s="34"/>
      <c r="C30" s="30"/>
      <c r="D30" s="30"/>
      <c r="E30" s="30"/>
      <c r="F30" s="34"/>
      <c r="G30" s="40"/>
    </row>
    <row r="31" spans="1:8">
      <c r="B31" s="34"/>
      <c r="C31" s="30"/>
      <c r="D31" s="30"/>
      <c r="E31" s="30"/>
      <c r="F31" s="34"/>
      <c r="G31" s="40"/>
    </row>
    <row r="32" spans="1:8">
      <c r="B32" s="34"/>
      <c r="C32" s="30"/>
      <c r="D32" s="30"/>
      <c r="E32" s="30"/>
      <c r="F32" s="34"/>
      <c r="G32" s="40"/>
    </row>
    <row r="33" spans="2:7">
      <c r="B33" s="34"/>
      <c r="C33" s="30"/>
      <c r="D33" s="30"/>
      <c r="E33" s="30"/>
      <c r="F33" s="34"/>
      <c r="G33" s="40"/>
    </row>
    <row r="34" spans="2:7">
      <c r="B34" s="37"/>
      <c r="C34" s="38"/>
      <c r="D34" s="38"/>
      <c r="E34" s="48" t="s">
        <v>30</v>
      </c>
      <c r="F34" s="49"/>
      <c r="G34" s="370">
        <f>SUM(F23:F32)-SUM(G23:G32)</f>
        <v>-405.4</v>
      </c>
    </row>
    <row r="38" spans="2:7">
      <c r="C38" s="2" t="s">
        <v>31</v>
      </c>
      <c r="D38" s="800">
        <v>42934</v>
      </c>
      <c r="E38" s="800"/>
      <c r="F38" s="652"/>
    </row>
    <row r="39" spans="2:7" ht="18" customHeight="1"/>
  </sheetData>
  <mergeCells count="8">
    <mergeCell ref="B24:E24"/>
    <mergeCell ref="D38:F38"/>
    <mergeCell ref="C1:G2"/>
    <mergeCell ref="G3:H3"/>
    <mergeCell ref="F12:H12"/>
    <mergeCell ref="D14:E14"/>
    <mergeCell ref="F14:G14"/>
    <mergeCell ref="B23:E23"/>
  </mergeCells>
  <pageMargins left="0.31496062992125984" right="0.31496062992125984" top="0.74803149606299213" bottom="0.74803149606299213" header="0.31496062992125984" footer="0.31496062992125984"/>
  <pageSetup paperSize="9" orientation="portrait" r:id="rId1"/>
  <drawing r:id="rId2"/>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39"/>
  <sheetViews>
    <sheetView workbookViewId="0">
      <selection activeCell="M31" sqref="M31"/>
    </sheetView>
  </sheetViews>
  <sheetFormatPr baseColWidth="10" defaultRowHeight="12.75"/>
  <cols>
    <col min="1" max="1" width="16.5703125" customWidth="1"/>
    <col min="5" max="5" width="9.28515625" customWidth="1"/>
    <col min="7" max="7" width="11.5703125" customWidth="1"/>
    <col min="8" max="8" width="6.85546875" customWidth="1"/>
  </cols>
  <sheetData>
    <row r="1" spans="1:8" ht="15">
      <c r="A1" s="27" t="s">
        <v>1</v>
      </c>
      <c r="C1" s="774" t="s">
        <v>32</v>
      </c>
      <c r="D1" s="774"/>
      <c r="E1" s="774"/>
      <c r="F1" s="774"/>
      <c r="G1" s="774"/>
    </row>
    <row r="2" spans="1:8" ht="15">
      <c r="A2" s="27" t="s">
        <v>2</v>
      </c>
      <c r="C2" s="774"/>
      <c r="D2" s="774"/>
      <c r="E2" s="774"/>
      <c r="F2" s="774"/>
      <c r="G2" s="774"/>
    </row>
    <row r="3" spans="1:8" ht="15">
      <c r="A3" s="27" t="s">
        <v>3</v>
      </c>
      <c r="G3" s="803">
        <f ca="1">TODAY()</f>
        <v>43335</v>
      </c>
      <c r="H3" s="803"/>
    </row>
    <row r="4" spans="1:8" ht="15">
      <c r="A4" s="27"/>
    </row>
    <row r="5" spans="1:8" ht="15">
      <c r="A5" s="27" t="e">
        <f>prop_tel_lib&amp;prop_tel</f>
        <v>#REF!</v>
      </c>
    </row>
    <row r="6" spans="1:8" ht="15">
      <c r="A6" s="27" t="str">
        <f>prop_portable_lib&amp;prop_portable</f>
        <v>Portable:  06 07 06 07 06</v>
      </c>
    </row>
    <row r="7" spans="1:8" ht="15">
      <c r="A7" s="27" t="str">
        <f>prop_mail_lib&amp;prop_mail</f>
        <v>Email :  demo38@gmail.com</v>
      </c>
    </row>
    <row r="8" spans="1:8" ht="15">
      <c r="A8" s="27"/>
    </row>
    <row r="12" spans="1:8" ht="15">
      <c r="D12" s="27"/>
      <c r="E12" s="29" t="s">
        <v>24</v>
      </c>
      <c r="F12" s="108" t="s">
        <v>425</v>
      </c>
      <c r="G12" s="27"/>
      <c r="H12" s="27"/>
    </row>
    <row r="13" spans="1:8" ht="15">
      <c r="D13" s="27"/>
      <c r="F13" t="s">
        <v>25</v>
      </c>
    </row>
    <row r="14" spans="1:8" ht="15.75" customHeight="1">
      <c r="A14" s="25" t="e">
        <f>Log_nom</f>
        <v>#N/A</v>
      </c>
      <c r="B14" s="26"/>
      <c r="C14" s="26"/>
      <c r="D14" s="777" t="s">
        <v>26</v>
      </c>
      <c r="E14" s="777"/>
      <c r="F14" s="778" t="e">
        <f>Log_adr</f>
        <v>#N/A</v>
      </c>
      <c r="G14" s="778"/>
      <c r="H14" s="27"/>
    </row>
    <row r="15" spans="1:8" ht="15" customHeight="1">
      <c r="A15" s="26"/>
      <c r="B15" s="26"/>
      <c r="C15" s="26"/>
      <c r="D15" s="27"/>
      <c r="E15" s="27"/>
      <c r="F15" s="28" t="e">
        <f>Log_cp</f>
        <v>#N/A</v>
      </c>
      <c r="G15" s="28"/>
      <c r="H15" s="28"/>
    </row>
    <row r="16" spans="1:8" ht="15" customHeight="1">
      <c r="A16" s="26"/>
      <c r="B16" s="26"/>
      <c r="C16" s="26"/>
      <c r="D16" s="27"/>
      <c r="E16" s="27"/>
      <c r="F16" s="28"/>
      <c r="G16" s="28"/>
      <c r="H16" s="28"/>
    </row>
    <row r="17" spans="1:9" ht="15" customHeight="1">
      <c r="A17" s="26"/>
      <c r="B17" s="26"/>
      <c r="C17" s="26"/>
      <c r="D17" s="27"/>
      <c r="E17" s="27"/>
      <c r="F17" s="28"/>
      <c r="G17" s="28"/>
      <c r="H17" s="28"/>
    </row>
    <row r="18" spans="1:9" ht="12.75" customHeight="1">
      <c r="A18" s="52"/>
      <c r="B18" s="52"/>
      <c r="C18" s="52"/>
      <c r="D18" s="52"/>
      <c r="E18" s="52"/>
      <c r="F18" s="52"/>
      <c r="G18" s="52"/>
      <c r="H18" s="52"/>
      <c r="I18" s="52"/>
    </row>
    <row r="19" spans="1:9" ht="6" customHeight="1">
      <c r="A19" s="52"/>
      <c r="B19" s="52"/>
      <c r="C19" s="52"/>
      <c r="D19" s="52"/>
      <c r="E19" s="52"/>
      <c r="F19" s="52"/>
      <c r="G19" s="52"/>
      <c r="H19" s="52"/>
      <c r="I19" s="52"/>
    </row>
    <row r="20" spans="1:9" ht="19.5" customHeight="1">
      <c r="A20" s="52"/>
      <c r="B20" s="52"/>
      <c r="C20" s="52"/>
      <c r="D20" s="52"/>
      <c r="E20" s="52"/>
      <c r="F20" s="53"/>
      <c r="G20" s="53"/>
      <c r="H20" s="52"/>
      <c r="I20" s="52"/>
    </row>
    <row r="21" spans="1:9" ht="108.75" customHeight="1">
      <c r="A21" s="52"/>
      <c r="B21" s="804" t="e">
        <f>"Je soussignée "&amp;prop_nom&amp;" atteste sur l'honneur que Mlle KORCHIA Camélia domicilié(e) ("&amp;Log_adr&amp;") a régulièrement fait face aux échéances de loyer."</f>
        <v>#N/A</v>
      </c>
      <c r="C21" s="804"/>
      <c r="D21" s="804"/>
      <c r="E21" s="804"/>
      <c r="F21" s="804"/>
      <c r="G21" s="804"/>
      <c r="H21" s="54"/>
      <c r="I21" s="54"/>
    </row>
    <row r="22" spans="1:9">
      <c r="A22" s="52"/>
      <c r="B22" s="52"/>
      <c r="C22" s="52"/>
      <c r="D22" s="52"/>
      <c r="E22" s="52"/>
      <c r="F22" s="52"/>
      <c r="G22" s="52"/>
      <c r="H22" s="52"/>
      <c r="I22" s="52"/>
    </row>
    <row r="23" spans="1:9" ht="15">
      <c r="A23" s="52"/>
      <c r="B23" s="805"/>
      <c r="C23" s="805"/>
      <c r="D23" s="805"/>
      <c r="E23" s="805"/>
      <c r="F23" s="56"/>
      <c r="G23" s="55"/>
      <c r="H23" s="52"/>
      <c r="I23" s="52"/>
    </row>
    <row r="24" spans="1:9" ht="15">
      <c r="A24" s="52"/>
      <c r="B24" s="801" t="s">
        <v>33</v>
      </c>
      <c r="C24" s="801"/>
      <c r="D24" s="801"/>
      <c r="E24" s="801"/>
      <c r="F24" s="802">
        <f ca="1">TODAY()</f>
        <v>43335</v>
      </c>
      <c r="G24" s="802"/>
      <c r="H24" s="52"/>
      <c r="I24" s="52"/>
    </row>
    <row r="25" spans="1:9">
      <c r="A25" s="52"/>
      <c r="B25" s="52"/>
      <c r="C25" s="52"/>
      <c r="D25" s="52"/>
      <c r="E25" s="52"/>
      <c r="F25" s="52"/>
      <c r="G25" s="52"/>
      <c r="H25" s="52"/>
      <c r="I25" s="52"/>
    </row>
    <row r="26" spans="1:9" ht="15">
      <c r="A26" s="52"/>
      <c r="B26" s="57"/>
      <c r="C26" s="52"/>
      <c r="D26" s="58"/>
      <c r="E26" s="59"/>
      <c r="F26" s="52"/>
      <c r="G26" s="60"/>
      <c r="H26" s="52"/>
      <c r="I26" s="52"/>
    </row>
    <row r="27" spans="1:9">
      <c r="A27" s="52"/>
      <c r="B27" s="52"/>
      <c r="C27" s="52"/>
      <c r="D27" s="58"/>
      <c r="E27" s="59"/>
      <c r="F27" s="52"/>
      <c r="G27" s="52"/>
      <c r="H27" s="52"/>
      <c r="I27" s="52"/>
    </row>
    <row r="28" spans="1:9">
      <c r="A28" s="52"/>
      <c r="B28" s="52"/>
      <c r="C28" s="52"/>
      <c r="D28" s="52"/>
      <c r="E28" s="52"/>
      <c r="F28" s="52"/>
      <c r="G28" s="52"/>
      <c r="H28" s="52"/>
      <c r="I28" s="52"/>
    </row>
    <row r="29" spans="1:9">
      <c r="A29" s="52"/>
      <c r="B29" s="52"/>
      <c r="C29" s="52"/>
      <c r="D29" s="52"/>
      <c r="E29" s="52"/>
      <c r="F29" s="52"/>
      <c r="G29" s="52"/>
      <c r="H29" s="52"/>
      <c r="I29" s="52"/>
    </row>
    <row r="30" spans="1:9">
      <c r="A30" s="52"/>
      <c r="B30" s="52"/>
      <c r="C30" s="52"/>
      <c r="D30" s="52"/>
      <c r="E30" s="52"/>
      <c r="F30" s="52"/>
      <c r="G30" s="52"/>
      <c r="H30" s="52"/>
      <c r="I30" s="52"/>
    </row>
    <row r="31" spans="1:9">
      <c r="A31" s="52"/>
      <c r="B31" s="52"/>
      <c r="C31" s="52"/>
      <c r="D31" s="52"/>
      <c r="E31" s="52"/>
      <c r="F31" s="52"/>
      <c r="G31" s="52"/>
      <c r="H31" s="52"/>
      <c r="I31" s="52"/>
    </row>
    <row r="32" spans="1:9">
      <c r="A32" s="52"/>
      <c r="B32" s="52"/>
      <c r="C32" s="52"/>
      <c r="D32" s="52"/>
      <c r="E32" s="52"/>
      <c r="F32" s="52"/>
      <c r="G32" s="52"/>
      <c r="H32" s="52"/>
      <c r="I32" s="52"/>
    </row>
    <row r="33" spans="1:9">
      <c r="A33" s="52"/>
      <c r="B33" s="52"/>
      <c r="C33" s="52"/>
      <c r="D33" s="52"/>
      <c r="E33" s="52"/>
      <c r="F33" s="52"/>
      <c r="G33" s="52"/>
      <c r="H33" s="52"/>
      <c r="I33" s="52"/>
    </row>
    <row r="34" spans="1:9">
      <c r="A34" s="52"/>
      <c r="B34" s="52"/>
      <c r="C34" s="52"/>
      <c r="D34" s="52"/>
      <c r="E34" s="61"/>
      <c r="F34" s="52"/>
      <c r="G34" s="52"/>
      <c r="H34" s="52"/>
      <c r="I34" s="52"/>
    </row>
    <row r="35" spans="1:9">
      <c r="A35" s="52"/>
      <c r="B35" s="52"/>
      <c r="C35" s="52"/>
      <c r="D35" s="52"/>
      <c r="E35" s="52"/>
      <c r="F35" s="52"/>
      <c r="G35" s="52"/>
      <c r="H35" s="52"/>
      <c r="I35" s="52"/>
    </row>
    <row r="39" spans="1:9" ht="18" customHeight="1"/>
  </sheetData>
  <sheetProtection selectLockedCells="1" selectUnlockedCells="1"/>
  <mergeCells count="8">
    <mergeCell ref="B24:E24"/>
    <mergeCell ref="F24:G24"/>
    <mergeCell ref="C1:G2"/>
    <mergeCell ref="G3:H3"/>
    <mergeCell ref="D14:E14"/>
    <mergeCell ref="F14:G14"/>
    <mergeCell ref="B21:G21"/>
    <mergeCell ref="B23:E23"/>
  </mergeCells>
  <pageMargins left="0.65" right="0.3" top="0.98402777777777772" bottom="0.98402777777777772" header="0.51180555555555551" footer="0.51180555555555551"/>
  <pageSetup paperSize="9" firstPageNumber="0" orientation="portrait" r:id="rId1"/>
  <headerFooter alignWithMargins="0"/>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X103"/>
  <sheetViews>
    <sheetView workbookViewId="0">
      <selection activeCell="B30" sqref="B30"/>
    </sheetView>
  </sheetViews>
  <sheetFormatPr baseColWidth="10" defaultRowHeight="12.75"/>
  <cols>
    <col min="1" max="1" width="12.28515625" customWidth="1"/>
    <col min="4" max="4" width="10.5703125" customWidth="1"/>
    <col min="5" max="6" width="9.5703125" customWidth="1"/>
    <col min="7" max="8" width="10.5703125" customWidth="1"/>
    <col min="10" max="10" width="14.28515625" customWidth="1"/>
    <col min="11" max="11" width="16.42578125" customWidth="1"/>
    <col min="14" max="14" width="12" style="418" customWidth="1"/>
    <col min="16" max="16" width="4.7109375" customWidth="1"/>
    <col min="17" max="17" width="4.28515625" customWidth="1"/>
    <col min="18" max="18" width="6.5703125" customWidth="1"/>
    <col min="19" max="19" width="8.5703125" customWidth="1"/>
    <col min="20" max="20" width="18.7109375" customWidth="1"/>
    <col min="22" max="22" width="15.42578125" customWidth="1"/>
    <col min="24" max="24" width="6.7109375" style="418" customWidth="1"/>
  </cols>
  <sheetData>
    <row r="1" spans="1:24">
      <c r="A1" s="1" t="s">
        <v>46</v>
      </c>
    </row>
    <row r="2" spans="1:24" ht="15">
      <c r="B2" s="2" t="s">
        <v>0</v>
      </c>
      <c r="C2" s="781" t="s">
        <v>1</v>
      </c>
      <c r="D2" s="781"/>
      <c r="E2" s="781" t="s">
        <v>2</v>
      </c>
      <c r="F2" s="781"/>
      <c r="G2" s="781"/>
      <c r="H2" s="420"/>
      <c r="I2" s="782" t="s">
        <v>3</v>
      </c>
      <c r="J2" s="782"/>
      <c r="K2" s="3" t="s">
        <v>4</v>
      </c>
    </row>
    <row r="3" spans="1:24">
      <c r="B3" s="2" t="s">
        <v>5</v>
      </c>
      <c r="C3" s="783" t="s">
        <v>6</v>
      </c>
      <c r="D3" s="783"/>
      <c r="E3" s="783"/>
      <c r="F3" s="784" t="s">
        <v>7</v>
      </c>
      <c r="G3" s="784"/>
      <c r="H3" s="421"/>
      <c r="I3" s="785" t="s">
        <v>8</v>
      </c>
      <c r="J3" s="785"/>
      <c r="K3" s="4"/>
      <c r="N3" s="67" t="s">
        <v>52</v>
      </c>
      <c r="O3">
        <v>1</v>
      </c>
    </row>
    <row r="4" spans="1:24" ht="15">
      <c r="C4" s="5"/>
      <c r="D4" s="5"/>
      <c r="E4" s="5"/>
      <c r="F4" s="5"/>
      <c r="G4" s="5"/>
      <c r="H4" s="5"/>
      <c r="I4" s="6"/>
      <c r="J4" s="5"/>
      <c r="K4" s="7"/>
    </row>
    <row r="5" spans="1:24" s="418" customFormat="1" ht="25.5">
      <c r="A5" s="8"/>
      <c r="B5" s="787" t="s">
        <v>9</v>
      </c>
      <c r="C5" s="787"/>
      <c r="D5" s="788" t="s">
        <v>10</v>
      </c>
      <c r="E5" s="788"/>
      <c r="F5" s="789" t="s">
        <v>11</v>
      </c>
      <c r="G5" s="789"/>
      <c r="H5" s="790" t="s">
        <v>53</v>
      </c>
      <c r="I5" s="791"/>
      <c r="J5" s="9" t="s">
        <v>12</v>
      </c>
      <c r="K5" s="10" t="s">
        <v>13</v>
      </c>
      <c r="L5" s="8" t="s">
        <v>11</v>
      </c>
      <c r="M5" s="11" t="s">
        <v>14</v>
      </c>
      <c r="N5" s="11" t="s">
        <v>54</v>
      </c>
      <c r="O5" s="67" t="s">
        <v>52</v>
      </c>
      <c r="P5" s="672" t="s">
        <v>62</v>
      </c>
      <c r="Q5" s="672"/>
      <c r="R5" s="667"/>
      <c r="S5" s="77" t="s">
        <v>94</v>
      </c>
      <c r="T5" s="77" t="s">
        <v>113</v>
      </c>
      <c r="U5" s="77" t="s">
        <v>64</v>
      </c>
      <c r="X5" s="387" t="s">
        <v>70</v>
      </c>
    </row>
    <row r="6" spans="1:24">
      <c r="A6">
        <v>2017</v>
      </c>
      <c r="B6" s="13" t="s">
        <v>9</v>
      </c>
      <c r="C6" s="13" t="s">
        <v>15</v>
      </c>
      <c r="D6" s="13" t="s">
        <v>16</v>
      </c>
      <c r="E6" s="13" t="s">
        <v>17</v>
      </c>
      <c r="F6" s="13" t="s">
        <v>16</v>
      </c>
      <c r="G6" s="13" t="s">
        <v>17</v>
      </c>
      <c r="H6" s="155" t="s">
        <v>16</v>
      </c>
      <c r="I6" s="155" t="s">
        <v>119</v>
      </c>
      <c r="K6" s="98"/>
      <c r="N6"/>
      <c r="O6" s="301">
        <v>1</v>
      </c>
      <c r="R6" s="418" t="s">
        <v>63</v>
      </c>
      <c r="S6" s="418"/>
    </row>
    <row r="7" spans="1:24" ht="12" customHeight="1">
      <c r="A7" s="187" t="s">
        <v>131</v>
      </c>
      <c r="B7" t="s">
        <v>304</v>
      </c>
      <c r="C7" t="s">
        <v>330</v>
      </c>
      <c r="D7" s="15" t="s">
        <v>223</v>
      </c>
      <c r="E7" s="16"/>
      <c r="F7" s="15" t="s">
        <v>340</v>
      </c>
      <c r="G7" s="16">
        <v>42738</v>
      </c>
      <c r="H7" s="15"/>
      <c r="I7" s="15"/>
      <c r="J7" t="s">
        <v>339</v>
      </c>
      <c r="K7" s="98"/>
      <c r="L7" s="303" t="s">
        <v>112</v>
      </c>
      <c r="M7" s="98"/>
      <c r="N7"/>
      <c r="P7" s="65">
        <v>31</v>
      </c>
      <c r="Q7" s="65">
        <v>31</v>
      </c>
      <c r="R7" s="75">
        <f>P7/Q7</f>
        <v>1</v>
      </c>
      <c r="S7" s="76" t="s">
        <v>99</v>
      </c>
      <c r="T7" s="65" t="e">
        <f>IF(L7&lt;&gt;"",VLOOKUP(L7,Locataires!C$5:L$26,4,0),"pas de Locataire")</f>
        <v>#N/A</v>
      </c>
      <c r="U7" s="76" t="e">
        <f>IF(L7&lt;&gt;"",VLOOKUP(L7,Locataires!C$5:L$26,5,0),"?")</f>
        <v>#N/A</v>
      </c>
      <c r="V7" s="198">
        <v>42857.903495370374</v>
      </c>
      <c r="W7" s="142">
        <v>42739</v>
      </c>
      <c r="X7" s="388">
        <v>2017</v>
      </c>
    </row>
    <row r="8" spans="1:24" ht="12" customHeight="1">
      <c r="A8" s="187" t="s">
        <v>147</v>
      </c>
      <c r="B8" t="s">
        <v>304</v>
      </c>
      <c r="C8" t="s">
        <v>330</v>
      </c>
      <c r="D8" s="15" t="s">
        <v>223</v>
      </c>
      <c r="E8" s="16"/>
      <c r="F8" s="15" t="s">
        <v>340</v>
      </c>
      <c r="G8" s="16">
        <v>42737</v>
      </c>
      <c r="H8" s="15"/>
      <c r="I8" s="15"/>
      <c r="J8" t="s">
        <v>430</v>
      </c>
      <c r="K8" s="98"/>
      <c r="L8" s="303" t="s">
        <v>112</v>
      </c>
      <c r="M8" s="98"/>
      <c r="N8"/>
      <c r="P8" s="65">
        <v>28</v>
      </c>
      <c r="Q8" s="65">
        <v>28</v>
      </c>
      <c r="R8" s="75">
        <f t="shared" ref="R8:R18" si="0">P8/Q8</f>
        <v>1</v>
      </c>
      <c r="S8" s="76" t="s">
        <v>99</v>
      </c>
      <c r="T8" s="65" t="e">
        <f>IF(L8&lt;&gt;"",VLOOKUP(L8,Locataires!C$5:L$26,4,0),"pas de Locataire")</f>
        <v>#N/A</v>
      </c>
      <c r="U8" s="76" t="e">
        <f>IF(L8&lt;&gt;"",VLOOKUP(L8,Locataires!C$5:L$26,5,0),"?")</f>
        <v>#N/A</v>
      </c>
      <c r="V8" s="198">
        <v>42768.714479166665</v>
      </c>
      <c r="X8" s="388">
        <v>2017</v>
      </c>
    </row>
    <row r="9" spans="1:24" ht="12" customHeight="1">
      <c r="A9" s="187" t="s">
        <v>372</v>
      </c>
      <c r="B9" t="s">
        <v>304</v>
      </c>
      <c r="C9" t="s">
        <v>330</v>
      </c>
      <c r="D9" s="15" t="s">
        <v>223</v>
      </c>
      <c r="E9" s="311"/>
      <c r="F9" s="15" t="s">
        <v>340</v>
      </c>
      <c r="G9" s="16">
        <v>42796</v>
      </c>
      <c r="H9" s="15"/>
      <c r="I9" s="15"/>
      <c r="J9" s="20" t="s">
        <v>447</v>
      </c>
      <c r="K9" s="98">
        <v>42797</v>
      </c>
      <c r="L9" s="303" t="s">
        <v>112</v>
      </c>
      <c r="M9" s="98"/>
      <c r="N9"/>
      <c r="P9" s="65">
        <v>31</v>
      </c>
      <c r="Q9" s="65">
        <v>31</v>
      </c>
      <c r="R9" s="75">
        <f t="shared" si="0"/>
        <v>1</v>
      </c>
      <c r="S9" s="76" t="s">
        <v>99</v>
      </c>
      <c r="T9" s="65" t="e">
        <f>IF(L9&lt;&gt;"",VLOOKUP(L9,Locataires!C$5:L$26,4,0),"pas de Locataire")</f>
        <v>#N/A</v>
      </c>
      <c r="U9" s="76" t="e">
        <f>IF(L9&lt;&gt;"",VLOOKUP(L9,Locataires!C$5:L$26,5,0),"?")</f>
        <v>#N/A</v>
      </c>
      <c r="V9" s="198">
        <v>42819.870347222219</v>
      </c>
      <c r="X9" s="388">
        <v>2017</v>
      </c>
    </row>
    <row r="10" spans="1:24" ht="12" customHeight="1">
      <c r="A10" s="187" t="s">
        <v>132</v>
      </c>
      <c r="B10" t="s">
        <v>304</v>
      </c>
      <c r="C10" t="s">
        <v>330</v>
      </c>
      <c r="D10" s="15" t="s">
        <v>223</v>
      </c>
      <c r="E10" s="16"/>
      <c r="F10" s="15" t="s">
        <v>340</v>
      </c>
      <c r="G10" s="16">
        <v>42829</v>
      </c>
      <c r="H10" s="15"/>
      <c r="I10" s="15"/>
      <c r="J10" t="s">
        <v>476</v>
      </c>
      <c r="K10" s="98">
        <v>42829</v>
      </c>
      <c r="L10" s="303" t="s">
        <v>112</v>
      </c>
      <c r="M10" s="98"/>
      <c r="N10"/>
      <c r="P10" s="65">
        <v>30</v>
      </c>
      <c r="Q10" s="65">
        <v>30</v>
      </c>
      <c r="R10" s="75">
        <f t="shared" si="0"/>
        <v>1</v>
      </c>
      <c r="S10" s="76" t="s">
        <v>99</v>
      </c>
      <c r="T10" s="65" t="e">
        <f>IF(L10&lt;&gt;"",VLOOKUP(L10,Locataires!C$5:L$26,4,0),"pas de Locataire")</f>
        <v>#N/A</v>
      </c>
      <c r="U10" s="76" t="e">
        <f>IF(L10&lt;&gt;"",VLOOKUP(L10,Locataires!C$5:L$26,5,0),"?")</f>
        <v>#N/A</v>
      </c>
      <c r="V10" s="198">
        <v>42892.88685185185</v>
      </c>
      <c r="X10" s="388">
        <v>2017</v>
      </c>
    </row>
    <row r="11" spans="1:24" ht="12" customHeight="1">
      <c r="A11" s="187" t="s">
        <v>136</v>
      </c>
      <c r="B11" t="s">
        <v>304</v>
      </c>
      <c r="C11" t="s">
        <v>330</v>
      </c>
      <c r="D11" s="15" t="s">
        <v>223</v>
      </c>
      <c r="E11" s="16"/>
      <c r="F11" s="15" t="s">
        <v>340</v>
      </c>
      <c r="G11" s="16">
        <v>42858</v>
      </c>
      <c r="H11" s="15"/>
      <c r="I11" s="15"/>
      <c r="J11" t="s">
        <v>477</v>
      </c>
      <c r="K11" s="98">
        <v>42859</v>
      </c>
      <c r="L11" s="303" t="s">
        <v>112</v>
      </c>
      <c r="M11" s="98"/>
      <c r="N11"/>
      <c r="P11" s="65">
        <v>31</v>
      </c>
      <c r="Q11" s="65">
        <v>31</v>
      </c>
      <c r="R11" s="75">
        <f t="shared" si="0"/>
        <v>1</v>
      </c>
      <c r="S11" s="76" t="s">
        <v>99</v>
      </c>
      <c r="T11" s="65" t="e">
        <f>IF(L11&lt;&gt;"",VLOOKUP(L11,Locataires!C$5:L$26,4,0),"pas de Locataire")</f>
        <v>#N/A</v>
      </c>
      <c r="U11" s="76" t="e">
        <f>IF(L11&lt;&gt;"",VLOOKUP(L11,Locataires!C$5:L$26,5,0),"?")</f>
        <v>#N/A</v>
      </c>
      <c r="V11" s="198">
        <v>42877.268495370372</v>
      </c>
      <c r="X11" s="388">
        <v>2017</v>
      </c>
    </row>
    <row r="12" spans="1:24" ht="12" customHeight="1">
      <c r="A12" s="187" t="s">
        <v>137</v>
      </c>
      <c r="B12" t="s">
        <v>304</v>
      </c>
      <c r="C12" t="s">
        <v>330</v>
      </c>
      <c r="D12" s="15" t="s">
        <v>223</v>
      </c>
      <c r="E12" s="16"/>
      <c r="F12" s="15" t="s">
        <v>340</v>
      </c>
      <c r="G12" s="16">
        <v>42888</v>
      </c>
      <c r="H12" s="15"/>
      <c r="I12" s="15"/>
      <c r="J12" t="s">
        <v>478</v>
      </c>
      <c r="K12" s="98">
        <v>42892</v>
      </c>
      <c r="L12" s="303" t="s">
        <v>112</v>
      </c>
      <c r="M12" s="98"/>
      <c r="N12"/>
      <c r="P12" s="65">
        <v>30</v>
      </c>
      <c r="Q12" s="65">
        <v>30</v>
      </c>
      <c r="R12" s="75">
        <f t="shared" si="0"/>
        <v>1</v>
      </c>
      <c r="S12" s="76" t="s">
        <v>99</v>
      </c>
      <c r="T12" s="65" t="e">
        <f>IF(L12&lt;&gt;"",VLOOKUP(L12,Locataires!C$5:L$26,4,0),"pas de Locataire")</f>
        <v>#N/A</v>
      </c>
      <c r="U12" s="76" t="e">
        <f>IF(L12&lt;&gt;"",VLOOKUP(L12,Locataires!C$5:L$26,5,0),"?")</f>
        <v>#N/A</v>
      </c>
      <c r="V12" s="198">
        <v>42900.942083333335</v>
      </c>
      <c r="X12" s="388">
        <v>2017</v>
      </c>
    </row>
    <row r="13" spans="1:24" ht="12" customHeight="1">
      <c r="A13" s="187" t="s">
        <v>138</v>
      </c>
      <c r="B13" t="s">
        <v>304</v>
      </c>
      <c r="C13" t="s">
        <v>330</v>
      </c>
      <c r="D13" s="15" t="s">
        <v>223</v>
      </c>
      <c r="E13" s="16"/>
      <c r="F13" s="15" t="s">
        <v>339</v>
      </c>
      <c r="G13" s="16"/>
      <c r="H13" s="15"/>
      <c r="I13" s="15"/>
      <c r="J13" t="s">
        <v>479</v>
      </c>
      <c r="K13" s="98"/>
      <c r="L13" s="303" t="s">
        <v>112</v>
      </c>
      <c r="M13" s="98"/>
      <c r="N13"/>
      <c r="P13" s="65">
        <v>31</v>
      </c>
      <c r="Q13" s="65">
        <v>31</v>
      </c>
      <c r="R13" s="75">
        <f t="shared" si="0"/>
        <v>1</v>
      </c>
      <c r="S13" s="76" t="s">
        <v>99</v>
      </c>
      <c r="T13" s="65" t="e">
        <f>IF(L13&lt;&gt;"",VLOOKUP(L13,Locataires!C$5:L$26,4,0),"pas de Locataire")</f>
        <v>#N/A</v>
      </c>
      <c r="U13" s="76" t="e">
        <f>IF(L13&lt;&gt;"",VLOOKUP(L13,Locataires!C$5:L$26,5,0),"?")</f>
        <v>#N/A</v>
      </c>
      <c r="V13" s="417" t="s">
        <v>116</v>
      </c>
      <c r="X13" s="388">
        <v>2017</v>
      </c>
    </row>
    <row r="14" spans="1:24" ht="12" customHeight="1">
      <c r="A14" s="187" t="s">
        <v>139</v>
      </c>
      <c r="B14" t="s">
        <v>304</v>
      </c>
      <c r="C14" t="s">
        <v>330</v>
      </c>
      <c r="D14" s="15" t="s">
        <v>223</v>
      </c>
      <c r="E14" s="16"/>
      <c r="F14" s="15" t="s">
        <v>339</v>
      </c>
      <c r="G14" s="16"/>
      <c r="H14" s="15"/>
      <c r="I14" s="15"/>
      <c r="J14" t="s">
        <v>480</v>
      </c>
      <c r="K14" s="98"/>
      <c r="L14" s="303" t="s">
        <v>112</v>
      </c>
      <c r="M14" s="98"/>
      <c r="N14"/>
      <c r="P14" s="65">
        <v>31</v>
      </c>
      <c r="Q14" s="65">
        <v>31</v>
      </c>
      <c r="R14" s="75">
        <f t="shared" si="0"/>
        <v>1</v>
      </c>
      <c r="S14" s="76" t="s">
        <v>99</v>
      </c>
      <c r="T14" s="65" t="e">
        <f>IF(L14&lt;&gt;"",VLOOKUP(L14,Locataires!C$5:L$26,4,0),"pas de Locataire")</f>
        <v>#N/A</v>
      </c>
      <c r="U14" s="76" t="e">
        <f>IF(L14&lt;&gt;"",VLOOKUP(L14,Locataires!C$5:L$26,5,0),"?")</f>
        <v>#N/A</v>
      </c>
      <c r="V14" s="417" t="s">
        <v>116</v>
      </c>
      <c r="X14" s="388">
        <v>2017</v>
      </c>
    </row>
    <row r="15" spans="1:24" ht="12" customHeight="1">
      <c r="A15" s="187" t="s">
        <v>140</v>
      </c>
      <c r="B15" t="s">
        <v>304</v>
      </c>
      <c r="C15" t="s">
        <v>330</v>
      </c>
      <c r="D15" s="15" t="s">
        <v>223</v>
      </c>
      <c r="E15" s="16"/>
      <c r="F15" s="15" t="s">
        <v>339</v>
      </c>
      <c r="G15" s="16"/>
      <c r="H15" s="15"/>
      <c r="I15" s="15"/>
      <c r="J15" t="s">
        <v>481</v>
      </c>
      <c r="K15" s="98"/>
      <c r="L15" s="303" t="s">
        <v>112</v>
      </c>
      <c r="M15" s="98"/>
      <c r="N15"/>
      <c r="P15" s="65">
        <v>30</v>
      </c>
      <c r="Q15" s="65">
        <v>30</v>
      </c>
      <c r="R15" s="75">
        <f t="shared" si="0"/>
        <v>1</v>
      </c>
      <c r="S15" s="76" t="s">
        <v>99</v>
      </c>
      <c r="T15" s="65" t="e">
        <f>IF(L15&lt;&gt;"",VLOOKUP(L15,Locataires!C$5:L$26,4,0),"pas de Locataire")</f>
        <v>#N/A</v>
      </c>
      <c r="U15" s="76" t="e">
        <f>IF(L15&lt;&gt;"",VLOOKUP(L15,Locataires!C$5:L$26,5,0),"?")</f>
        <v>#N/A</v>
      </c>
      <c r="V15" s="417" t="s">
        <v>116</v>
      </c>
      <c r="X15" s="388">
        <v>2017</v>
      </c>
    </row>
    <row r="16" spans="1:24" ht="12" customHeight="1">
      <c r="A16" s="187" t="s">
        <v>141</v>
      </c>
      <c r="B16" t="s">
        <v>304</v>
      </c>
      <c r="C16" t="s">
        <v>330</v>
      </c>
      <c r="D16" s="15" t="s">
        <v>223</v>
      </c>
      <c r="E16" s="16"/>
      <c r="F16" s="15" t="s">
        <v>339</v>
      </c>
      <c r="G16" s="16">
        <v>42738</v>
      </c>
      <c r="H16" s="15"/>
      <c r="I16" s="15"/>
      <c r="J16" t="s">
        <v>482</v>
      </c>
      <c r="K16" s="98"/>
      <c r="L16" s="303" t="s">
        <v>112</v>
      </c>
      <c r="M16" s="98"/>
      <c r="N16"/>
      <c r="P16" s="65">
        <v>31</v>
      </c>
      <c r="Q16" s="65">
        <v>31</v>
      </c>
      <c r="R16" s="75">
        <f t="shared" si="0"/>
        <v>1</v>
      </c>
      <c r="S16" s="76" t="s">
        <v>99</v>
      </c>
      <c r="T16" s="65" t="e">
        <f>IF(L16&lt;&gt;"",VLOOKUP(L16,Locataires!C$5:L$26,4,0),"pas de Locataire")</f>
        <v>#N/A</v>
      </c>
      <c r="U16" s="76" t="e">
        <f>IF(L16&lt;&gt;"",VLOOKUP(L16,Locataires!C$5:L$26,5,0),"?")</f>
        <v>#N/A</v>
      </c>
      <c r="V16" s="417" t="s">
        <v>116</v>
      </c>
      <c r="X16" s="388">
        <v>2017</v>
      </c>
    </row>
    <row r="17" spans="1:24" ht="12" customHeight="1">
      <c r="A17" s="188" t="s">
        <v>135</v>
      </c>
      <c r="B17" t="s">
        <v>304</v>
      </c>
      <c r="C17" t="s">
        <v>330</v>
      </c>
      <c r="D17" s="126" t="s">
        <v>223</v>
      </c>
      <c r="E17" s="127"/>
      <c r="F17" s="126" t="s">
        <v>339</v>
      </c>
      <c r="G17" s="16"/>
      <c r="H17" s="126"/>
      <c r="I17" s="126"/>
      <c r="J17" t="s">
        <v>483</v>
      </c>
      <c r="K17" s="128"/>
      <c r="L17" s="303" t="s">
        <v>112</v>
      </c>
      <c r="M17" s="422"/>
      <c r="N17" s="422"/>
      <c r="O17" s="422"/>
      <c r="P17" s="130">
        <v>30</v>
      </c>
      <c r="Q17" s="130">
        <v>30</v>
      </c>
      <c r="R17" s="131">
        <f t="shared" si="0"/>
        <v>1</v>
      </c>
      <c r="S17" s="76" t="s">
        <v>99</v>
      </c>
      <c r="T17" s="65" t="e">
        <f>IF(L17&lt;&gt;"",VLOOKUP(L17,Locataires!C$5:L$26,4,0),"pas de Locataire")</f>
        <v>#N/A</v>
      </c>
      <c r="U17" s="76" t="e">
        <f>IF(L17&lt;&gt;"",VLOOKUP(L17,Locataires!C$5:L$26,5,0),"?")</f>
        <v>#N/A</v>
      </c>
      <c r="V17" s="417" t="s">
        <v>116</v>
      </c>
      <c r="X17" s="388">
        <v>2017</v>
      </c>
    </row>
    <row r="18" spans="1:24" ht="12" customHeight="1">
      <c r="A18" s="188" t="s">
        <v>142</v>
      </c>
      <c r="B18" t="s">
        <v>304</v>
      </c>
      <c r="C18" t="s">
        <v>330</v>
      </c>
      <c r="D18" s="126" t="s">
        <v>223</v>
      </c>
      <c r="E18" s="127"/>
      <c r="F18" s="126" t="s">
        <v>339</v>
      </c>
      <c r="G18" s="16"/>
      <c r="H18" s="126"/>
      <c r="I18" s="126"/>
      <c r="J18" t="s">
        <v>484</v>
      </c>
      <c r="K18" s="128"/>
      <c r="L18" s="303" t="s">
        <v>112</v>
      </c>
      <c r="M18" s="128"/>
      <c r="N18" s="422"/>
      <c r="O18" s="422"/>
      <c r="P18" s="130">
        <v>31</v>
      </c>
      <c r="Q18" s="130">
        <v>31</v>
      </c>
      <c r="R18" s="131">
        <f t="shared" si="0"/>
        <v>1</v>
      </c>
      <c r="S18" s="76" t="s">
        <v>99</v>
      </c>
      <c r="T18" s="65" t="e">
        <f>IF(L18&lt;&gt;"",VLOOKUP(L18,Locataires!C$5:L$26,4,0),"pas de Locataire")</f>
        <v>#N/A</v>
      </c>
      <c r="U18" s="76" t="e">
        <f>IF(L18&lt;&gt;"",VLOOKUP(L18,Locataires!C$5:L$26,5,0),"?")</f>
        <v>#N/A</v>
      </c>
      <c r="V18" s="417" t="s">
        <v>116</v>
      </c>
      <c r="X18" s="388">
        <v>2017</v>
      </c>
    </row>
    <row r="19" spans="1:24">
      <c r="B19" s="19" t="s">
        <v>304</v>
      </c>
      <c r="C19" s="20" t="s">
        <v>330</v>
      </c>
      <c r="D19" t="s">
        <v>223</v>
      </c>
      <c r="F19" t="s">
        <v>340</v>
      </c>
      <c r="G19" s="147">
        <v>42738</v>
      </c>
      <c r="J19" s="98" t="s">
        <v>339</v>
      </c>
      <c r="L19" t="s">
        <v>112</v>
      </c>
      <c r="N19"/>
      <c r="R19" s="418"/>
    </row>
    <row r="20" spans="1:24">
      <c r="B20" t="s">
        <v>304</v>
      </c>
      <c r="C20" s="21" t="s">
        <v>330</v>
      </c>
      <c r="D20" s="15" t="s">
        <v>223</v>
      </c>
      <c r="F20" s="15" t="s">
        <v>340</v>
      </c>
      <c r="G20" s="147">
        <v>42737</v>
      </c>
      <c r="J20" s="98" t="s">
        <v>430</v>
      </c>
      <c r="L20" t="s">
        <v>112</v>
      </c>
      <c r="N20"/>
      <c r="R20" s="418"/>
      <c r="T20" t="str">
        <f>VLOOKUP(L11,Locataires!C5:K10,4,TRUE)</f>
        <v>......@.......</v>
      </c>
    </row>
    <row r="21" spans="1:24">
      <c r="B21" t="s">
        <v>304</v>
      </c>
      <c r="C21" t="s">
        <v>330</v>
      </c>
      <c r="D21" t="s">
        <v>223</v>
      </c>
      <c r="F21" t="s">
        <v>340</v>
      </c>
      <c r="G21" s="147">
        <v>42796</v>
      </c>
      <c r="J21" s="98" t="s">
        <v>447</v>
      </c>
      <c r="K21" s="147">
        <v>42797</v>
      </c>
      <c r="L21" t="s">
        <v>112</v>
      </c>
      <c r="N21"/>
      <c r="R21" s="418"/>
    </row>
    <row r="22" spans="1:24">
      <c r="B22" t="s">
        <v>304</v>
      </c>
      <c r="C22" s="21" t="s">
        <v>330</v>
      </c>
      <c r="D22" s="22" t="s">
        <v>223</v>
      </c>
      <c r="F22" t="s">
        <v>340</v>
      </c>
      <c r="G22" s="147">
        <v>42829</v>
      </c>
      <c r="J22" s="98" t="s">
        <v>476</v>
      </c>
      <c r="K22" s="147">
        <v>42829</v>
      </c>
      <c r="L22" t="s">
        <v>112</v>
      </c>
      <c r="N22"/>
      <c r="R22" s="418"/>
    </row>
    <row r="23" spans="1:24">
      <c r="B23" t="s">
        <v>304</v>
      </c>
      <c r="C23" s="23" t="s">
        <v>330</v>
      </c>
      <c r="D23" s="24" t="s">
        <v>223</v>
      </c>
      <c r="F23" t="s">
        <v>340</v>
      </c>
      <c r="G23" s="147">
        <v>42858</v>
      </c>
      <c r="J23" s="98" t="s">
        <v>477</v>
      </c>
      <c r="K23" s="147">
        <v>42859</v>
      </c>
      <c r="L23" t="s">
        <v>112</v>
      </c>
      <c r="N23"/>
      <c r="R23" s="418"/>
    </row>
    <row r="24" spans="1:24">
      <c r="B24" t="s">
        <v>304</v>
      </c>
      <c r="C24" t="s">
        <v>330</v>
      </c>
      <c r="D24" t="s">
        <v>223</v>
      </c>
      <c r="F24" t="s">
        <v>340</v>
      </c>
      <c r="G24" s="147">
        <v>42888</v>
      </c>
      <c r="J24" t="s">
        <v>478</v>
      </c>
      <c r="K24" s="147">
        <v>42892</v>
      </c>
      <c r="L24" t="s">
        <v>112</v>
      </c>
      <c r="N24"/>
    </row>
    <row r="25" spans="1:24">
      <c r="B25" t="s">
        <v>304</v>
      </c>
      <c r="C25" t="s">
        <v>330</v>
      </c>
      <c r="D25" t="s">
        <v>223</v>
      </c>
      <c r="F25" t="s">
        <v>523</v>
      </c>
      <c r="G25" s="147">
        <v>42917</v>
      </c>
      <c r="J25" t="s">
        <v>479</v>
      </c>
      <c r="L25" t="s">
        <v>112</v>
      </c>
      <c r="N25"/>
    </row>
    <row r="26" spans="1:24">
      <c r="B26" t="s">
        <v>304</v>
      </c>
      <c r="C26" t="s">
        <v>330</v>
      </c>
      <c r="D26" t="s">
        <v>223</v>
      </c>
      <c r="F26" t="s">
        <v>339</v>
      </c>
      <c r="J26" t="s">
        <v>480</v>
      </c>
      <c r="L26" t="s">
        <v>112</v>
      </c>
    </row>
    <row r="27" spans="1:24">
      <c r="B27" t="s">
        <v>304</v>
      </c>
      <c r="C27" t="s">
        <v>330</v>
      </c>
      <c r="D27" t="s">
        <v>223</v>
      </c>
      <c r="F27" t="s">
        <v>339</v>
      </c>
      <c r="J27" t="s">
        <v>481</v>
      </c>
      <c r="L27" t="s">
        <v>112</v>
      </c>
      <c r="N27"/>
    </row>
    <row r="28" spans="1:24">
      <c r="B28" t="s">
        <v>304</v>
      </c>
      <c r="C28" t="s">
        <v>330</v>
      </c>
      <c r="D28" t="s">
        <v>223</v>
      </c>
      <c r="F28" t="s">
        <v>339</v>
      </c>
      <c r="G28" s="147">
        <v>42738</v>
      </c>
      <c r="J28" t="s">
        <v>482</v>
      </c>
      <c r="L28" t="s">
        <v>112</v>
      </c>
      <c r="N28"/>
    </row>
    <row r="29" spans="1:24" ht="26.25" customHeight="1">
      <c r="B29" t="s">
        <v>304</v>
      </c>
      <c r="C29" t="s">
        <v>330</v>
      </c>
      <c r="D29" t="s">
        <v>223</v>
      </c>
      <c r="F29" t="s">
        <v>339</v>
      </c>
      <c r="J29" t="s">
        <v>483</v>
      </c>
      <c r="L29" t="s">
        <v>112</v>
      </c>
      <c r="N29"/>
    </row>
    <row r="30" spans="1:24">
      <c r="B30" t="s">
        <v>304</v>
      </c>
      <c r="C30" t="s">
        <v>330</v>
      </c>
      <c r="D30" t="s">
        <v>223</v>
      </c>
      <c r="F30" t="s">
        <v>339</v>
      </c>
      <c r="J30" t="s">
        <v>484</v>
      </c>
      <c r="L30" t="s">
        <v>112</v>
      </c>
      <c r="N30"/>
    </row>
    <row r="31" spans="1:24">
      <c r="N31"/>
    </row>
    <row r="32" spans="1:24">
      <c r="N32"/>
    </row>
    <row r="33" spans="1:21">
      <c r="N33"/>
    </row>
    <row r="34" spans="1:21">
      <c r="N34"/>
    </row>
    <row r="35" spans="1:21">
      <c r="N35"/>
    </row>
    <row r="36" spans="1:21">
      <c r="N36"/>
    </row>
    <row r="37" spans="1:21">
      <c r="N37"/>
    </row>
    <row r="38" spans="1:21">
      <c r="N38"/>
    </row>
    <row r="39" spans="1:21">
      <c r="N39"/>
    </row>
    <row r="40" spans="1:21">
      <c r="N40"/>
    </row>
    <row r="41" spans="1:21">
      <c r="N41"/>
    </row>
    <row r="42" spans="1:21" ht="15.75">
      <c r="A42" s="164">
        <v>2016</v>
      </c>
      <c r="B42" s="13" t="s">
        <v>9</v>
      </c>
      <c r="C42" s="13" t="s">
        <v>15</v>
      </c>
      <c r="D42" s="13" t="s">
        <v>16</v>
      </c>
      <c r="E42" s="13" t="s">
        <v>17</v>
      </c>
      <c r="F42" s="13" t="s">
        <v>16</v>
      </c>
      <c r="G42" s="13" t="s">
        <v>17</v>
      </c>
      <c r="H42" s="155" t="s">
        <v>16</v>
      </c>
      <c r="I42" s="155" t="s">
        <v>119</v>
      </c>
      <c r="K42" s="98"/>
      <c r="N42"/>
      <c r="O42" s="416">
        <v>1</v>
      </c>
      <c r="R42" s="418" t="s">
        <v>63</v>
      </c>
      <c r="S42" s="418"/>
    </row>
    <row r="43" spans="1:21">
      <c r="A43" s="170" t="s">
        <v>131</v>
      </c>
      <c r="B43" s="418">
        <v>290</v>
      </c>
      <c r="C43" s="418">
        <v>50</v>
      </c>
      <c r="D43" s="15">
        <v>272</v>
      </c>
      <c r="E43" s="16">
        <v>42009</v>
      </c>
      <c r="F43" s="15">
        <v>68</v>
      </c>
      <c r="G43" s="16">
        <v>42381</v>
      </c>
      <c r="H43" s="15"/>
      <c r="I43" s="15"/>
      <c r="J43" s="15">
        <f t="shared" ref="J43:J54" si="1">(B43+C43)*R43-D43-F43-H43</f>
        <v>0</v>
      </c>
      <c r="K43" s="73">
        <v>42409</v>
      </c>
      <c r="L43" s="17" t="s">
        <v>18</v>
      </c>
      <c r="M43" s="73" t="s">
        <v>126</v>
      </c>
      <c r="N43"/>
      <c r="P43" s="65">
        <v>31</v>
      </c>
      <c r="Q43" s="65">
        <v>31</v>
      </c>
      <c r="R43" s="75">
        <f>P43/Q43</f>
        <v>1</v>
      </c>
      <c r="S43" s="418"/>
      <c r="U43" s="169" t="s">
        <v>129</v>
      </c>
    </row>
    <row r="44" spans="1:21">
      <c r="A44" s="170" t="s">
        <v>133</v>
      </c>
      <c r="B44" s="418">
        <v>290</v>
      </c>
      <c r="C44" s="418">
        <v>50</v>
      </c>
      <c r="D44" s="15">
        <v>272</v>
      </c>
      <c r="E44" s="16">
        <v>42405</v>
      </c>
      <c r="F44" s="15">
        <v>68</v>
      </c>
      <c r="G44" s="16">
        <v>42409</v>
      </c>
      <c r="H44" s="15"/>
      <c r="I44" s="15"/>
      <c r="J44" s="15">
        <f t="shared" si="1"/>
        <v>0</v>
      </c>
      <c r="K44" s="73">
        <v>42409</v>
      </c>
      <c r="L44" s="17" t="s">
        <v>18</v>
      </c>
      <c r="M44" s="73" t="s">
        <v>126</v>
      </c>
      <c r="N44"/>
      <c r="P44" s="65">
        <v>28</v>
      </c>
      <c r="Q44" s="65">
        <v>28</v>
      </c>
      <c r="R44" s="75">
        <f t="shared" ref="R44:R54" si="2">P44/Q44</f>
        <v>1</v>
      </c>
      <c r="S44" s="418"/>
      <c r="U44" s="169" t="s">
        <v>129</v>
      </c>
    </row>
    <row r="45" spans="1:21">
      <c r="A45" s="170" t="s">
        <v>134</v>
      </c>
      <c r="B45" s="418">
        <v>290</v>
      </c>
      <c r="C45" s="418">
        <v>50</v>
      </c>
      <c r="D45" s="15">
        <v>272</v>
      </c>
      <c r="E45" s="16">
        <v>42433</v>
      </c>
      <c r="F45" s="15">
        <v>68</v>
      </c>
      <c r="G45" s="16">
        <v>42443</v>
      </c>
      <c r="J45" s="15">
        <f t="shared" si="1"/>
        <v>0</v>
      </c>
      <c r="K45" s="73">
        <v>42443</v>
      </c>
      <c r="L45" s="17" t="s">
        <v>18</v>
      </c>
      <c r="M45" s="73" t="s">
        <v>126</v>
      </c>
      <c r="N45"/>
      <c r="P45" s="65">
        <v>31</v>
      </c>
      <c r="Q45" s="65">
        <v>31</v>
      </c>
      <c r="R45" s="75">
        <f t="shared" si="2"/>
        <v>1</v>
      </c>
      <c r="S45" s="418"/>
      <c r="U45" s="169" t="s">
        <v>129</v>
      </c>
    </row>
    <row r="46" spans="1:21">
      <c r="A46" s="170" t="s">
        <v>132</v>
      </c>
      <c r="B46" s="418">
        <v>290</v>
      </c>
      <c r="C46" s="418">
        <v>50</v>
      </c>
      <c r="D46" s="15">
        <v>250.31</v>
      </c>
      <c r="E46" s="16">
        <v>38811</v>
      </c>
      <c r="F46" s="15">
        <v>90</v>
      </c>
      <c r="G46" s="16">
        <v>42474</v>
      </c>
      <c r="H46" s="15"/>
      <c r="I46" s="15"/>
      <c r="J46" s="15">
        <f t="shared" si="1"/>
        <v>-0.31000000000000227</v>
      </c>
      <c r="K46" s="73">
        <v>42474</v>
      </c>
      <c r="L46" s="17" t="s">
        <v>18</v>
      </c>
      <c r="M46" s="73" t="s">
        <v>126</v>
      </c>
      <c r="N46"/>
      <c r="P46" s="65">
        <v>30</v>
      </c>
      <c r="Q46" s="65">
        <v>30</v>
      </c>
      <c r="R46" s="75">
        <f t="shared" si="2"/>
        <v>1</v>
      </c>
      <c r="S46" s="418"/>
      <c r="U46" s="169" t="s">
        <v>129</v>
      </c>
    </row>
    <row r="47" spans="1:21">
      <c r="A47" s="170" t="s">
        <v>136</v>
      </c>
      <c r="B47" s="418">
        <v>290</v>
      </c>
      <c r="C47" s="418">
        <v>50</v>
      </c>
      <c r="D47" s="15">
        <v>272</v>
      </c>
      <c r="E47" s="16">
        <v>42496</v>
      </c>
      <c r="F47" s="15">
        <v>68</v>
      </c>
      <c r="G47" s="16">
        <v>42502</v>
      </c>
      <c r="H47" s="15"/>
      <c r="I47" s="15"/>
      <c r="J47" s="15">
        <f t="shared" si="1"/>
        <v>0</v>
      </c>
      <c r="K47" s="73">
        <v>42502</v>
      </c>
      <c r="L47" s="17" t="s">
        <v>18</v>
      </c>
      <c r="M47" s="73" t="s">
        <v>126</v>
      </c>
      <c r="N47"/>
      <c r="P47" s="65">
        <v>31</v>
      </c>
      <c r="Q47" s="65">
        <v>31</v>
      </c>
      <c r="R47" s="75">
        <f t="shared" si="2"/>
        <v>1</v>
      </c>
      <c r="S47" s="418"/>
      <c r="U47" s="169" t="s">
        <v>129</v>
      </c>
    </row>
    <row r="48" spans="1:21">
      <c r="A48" s="170" t="s">
        <v>137</v>
      </c>
      <c r="B48" s="418">
        <v>290</v>
      </c>
      <c r="C48" s="418">
        <v>50</v>
      </c>
      <c r="D48" s="15">
        <v>272</v>
      </c>
      <c r="E48" s="16">
        <v>42527</v>
      </c>
      <c r="F48" s="15">
        <v>68</v>
      </c>
      <c r="G48" s="16">
        <v>42536</v>
      </c>
      <c r="H48" s="15"/>
      <c r="I48" s="15"/>
      <c r="J48" s="15">
        <f t="shared" si="1"/>
        <v>0</v>
      </c>
      <c r="K48" s="73">
        <v>42536</v>
      </c>
      <c r="L48" s="17" t="s">
        <v>18</v>
      </c>
      <c r="M48" s="73" t="s">
        <v>126</v>
      </c>
      <c r="N48"/>
      <c r="P48" s="65">
        <v>30</v>
      </c>
      <c r="Q48" s="65">
        <v>30</v>
      </c>
      <c r="R48" s="75">
        <f t="shared" si="2"/>
        <v>1</v>
      </c>
      <c r="S48" s="418"/>
      <c r="U48" s="169" t="s">
        <v>129</v>
      </c>
    </row>
    <row r="49" spans="1:21">
      <c r="A49" s="170" t="s">
        <v>138</v>
      </c>
      <c r="B49" s="418">
        <v>290</v>
      </c>
      <c r="C49" s="418">
        <v>50</v>
      </c>
      <c r="D49" s="15">
        <v>272</v>
      </c>
      <c r="E49" s="16">
        <v>42556</v>
      </c>
      <c r="F49" s="15">
        <v>68</v>
      </c>
      <c r="G49" s="16">
        <v>42560</v>
      </c>
      <c r="H49" s="15"/>
      <c r="I49" s="15"/>
      <c r="J49" s="15">
        <f t="shared" si="1"/>
        <v>0</v>
      </c>
      <c r="K49" s="73">
        <v>42560</v>
      </c>
      <c r="L49" s="17" t="s">
        <v>18</v>
      </c>
      <c r="M49" s="73" t="s">
        <v>126</v>
      </c>
      <c r="N49"/>
      <c r="P49" s="65">
        <v>31</v>
      </c>
      <c r="Q49" s="65">
        <v>31</v>
      </c>
      <c r="R49" s="75">
        <f t="shared" si="2"/>
        <v>1</v>
      </c>
      <c r="S49" s="418"/>
      <c r="U49" s="169" t="s">
        <v>129</v>
      </c>
    </row>
    <row r="50" spans="1:21">
      <c r="A50" s="170" t="s">
        <v>139</v>
      </c>
      <c r="B50" s="418">
        <v>290</v>
      </c>
      <c r="C50" s="418">
        <v>50</v>
      </c>
      <c r="D50" s="15">
        <v>272</v>
      </c>
      <c r="E50" s="16">
        <v>42587</v>
      </c>
      <c r="F50" s="15">
        <v>68</v>
      </c>
      <c r="G50" s="16">
        <v>42592</v>
      </c>
      <c r="H50" s="15"/>
      <c r="I50" s="15"/>
      <c r="J50" s="15">
        <f t="shared" si="1"/>
        <v>0</v>
      </c>
      <c r="K50" s="73">
        <v>42592</v>
      </c>
      <c r="L50" s="17" t="s">
        <v>18</v>
      </c>
      <c r="M50" s="73" t="s">
        <v>126</v>
      </c>
      <c r="N50"/>
      <c r="P50" s="65">
        <v>31</v>
      </c>
      <c r="Q50" s="65">
        <v>31</v>
      </c>
      <c r="R50" s="75">
        <f t="shared" si="2"/>
        <v>1</v>
      </c>
      <c r="S50" s="418"/>
      <c r="U50" s="169" t="s">
        <v>129</v>
      </c>
    </row>
    <row r="51" spans="1:21">
      <c r="A51" s="170" t="s">
        <v>140</v>
      </c>
      <c r="B51" s="418">
        <v>290</v>
      </c>
      <c r="C51" s="418">
        <v>50</v>
      </c>
      <c r="D51" s="15">
        <v>272</v>
      </c>
      <c r="E51" s="16">
        <v>42618</v>
      </c>
      <c r="F51" s="15">
        <v>68</v>
      </c>
      <c r="G51" s="16">
        <v>42628</v>
      </c>
      <c r="H51" s="15"/>
      <c r="I51" s="15"/>
      <c r="J51" s="15">
        <f t="shared" si="1"/>
        <v>0</v>
      </c>
      <c r="K51" s="73">
        <v>42628</v>
      </c>
      <c r="L51" s="17" t="s">
        <v>18</v>
      </c>
      <c r="M51" s="73" t="s">
        <v>126</v>
      </c>
      <c r="N51"/>
      <c r="P51" s="65">
        <v>30</v>
      </c>
      <c r="Q51" s="65">
        <v>30</v>
      </c>
      <c r="R51" s="75">
        <f t="shared" si="2"/>
        <v>1</v>
      </c>
      <c r="S51" s="418"/>
      <c r="U51" s="169" t="s">
        <v>129</v>
      </c>
    </row>
    <row r="52" spans="1:21">
      <c r="A52" s="170" t="s">
        <v>141</v>
      </c>
      <c r="B52" s="418">
        <v>290</v>
      </c>
      <c r="C52" s="418">
        <v>50</v>
      </c>
      <c r="D52" s="15">
        <v>272</v>
      </c>
      <c r="E52" s="16">
        <v>42648</v>
      </c>
      <c r="F52" s="15">
        <v>68</v>
      </c>
      <c r="G52" s="16">
        <v>42653</v>
      </c>
      <c r="H52" s="15"/>
      <c r="I52" s="15"/>
      <c r="J52" s="15">
        <f t="shared" si="1"/>
        <v>0</v>
      </c>
      <c r="K52" s="73">
        <v>42653</v>
      </c>
      <c r="L52" s="17" t="s">
        <v>18</v>
      </c>
      <c r="M52" s="73" t="s">
        <v>126</v>
      </c>
      <c r="N52"/>
      <c r="P52" s="65">
        <v>31</v>
      </c>
      <c r="Q52" s="65">
        <v>31</v>
      </c>
      <c r="R52" s="75">
        <f t="shared" si="2"/>
        <v>1</v>
      </c>
      <c r="S52" s="418"/>
      <c r="U52" s="169" t="s">
        <v>129</v>
      </c>
    </row>
    <row r="53" spans="1:21">
      <c r="A53" s="170" t="s">
        <v>135</v>
      </c>
      <c r="B53" s="418">
        <v>290</v>
      </c>
      <c r="C53" s="418">
        <v>50</v>
      </c>
      <c r="D53" s="15">
        <v>240</v>
      </c>
      <c r="E53" s="16">
        <v>42710</v>
      </c>
      <c r="F53" s="15">
        <v>100</v>
      </c>
      <c r="G53" s="16">
        <v>42688</v>
      </c>
      <c r="H53" s="15"/>
      <c r="I53" s="15"/>
      <c r="J53" s="15">
        <f t="shared" si="1"/>
        <v>0</v>
      </c>
      <c r="K53" s="73">
        <v>42689</v>
      </c>
      <c r="L53" s="17" t="s">
        <v>112</v>
      </c>
      <c r="M53" s="73" t="s">
        <v>126</v>
      </c>
      <c r="N53"/>
      <c r="P53" s="65">
        <v>30</v>
      </c>
      <c r="Q53" s="65">
        <v>30</v>
      </c>
      <c r="R53" s="75">
        <f t="shared" si="2"/>
        <v>1</v>
      </c>
      <c r="S53" s="418" t="s">
        <v>99</v>
      </c>
      <c r="T53" t="e">
        <f>VLOOKUP(L53,Locataires!C9:L10,4,0)</f>
        <v>#N/A</v>
      </c>
      <c r="U53" s="169" t="s">
        <v>129</v>
      </c>
    </row>
    <row r="54" spans="1:21">
      <c r="A54" s="170" t="s">
        <v>142</v>
      </c>
      <c r="B54" s="418">
        <v>290</v>
      </c>
      <c r="C54" s="418">
        <v>50</v>
      </c>
      <c r="D54" s="15">
        <v>272</v>
      </c>
      <c r="E54" s="16"/>
      <c r="F54" s="15"/>
      <c r="G54" s="16"/>
      <c r="H54" s="15"/>
      <c r="I54" s="15"/>
      <c r="J54" s="15">
        <f t="shared" si="1"/>
        <v>68</v>
      </c>
      <c r="K54" s="73"/>
      <c r="L54" s="17" t="s">
        <v>112</v>
      </c>
      <c r="M54" s="73" t="s">
        <v>126</v>
      </c>
      <c r="N54"/>
      <c r="P54" s="65">
        <v>31</v>
      </c>
      <c r="Q54" s="65">
        <v>31</v>
      </c>
      <c r="R54" s="75">
        <f t="shared" si="2"/>
        <v>1</v>
      </c>
      <c r="S54" s="418"/>
      <c r="T54" t="e">
        <f>VLOOKUP(L54,Locataires!C9:L10,4,0)</f>
        <v>#N/A</v>
      </c>
      <c r="U54" s="169" t="s">
        <v>129</v>
      </c>
    </row>
    <row r="55" spans="1:21">
      <c r="B55" s="19" t="s">
        <v>19</v>
      </c>
      <c r="C55" s="20">
        <v>5100</v>
      </c>
      <c r="J55" s="98"/>
      <c r="K55" s="73"/>
      <c r="N55"/>
      <c r="R55" s="418"/>
    </row>
    <row r="56" spans="1:21">
      <c r="C56" s="21" t="s">
        <v>20</v>
      </c>
      <c r="D56" s="15">
        <v>0</v>
      </c>
      <c r="F56" s="15">
        <v>1700</v>
      </c>
      <c r="J56" s="98"/>
      <c r="N56"/>
      <c r="R56" s="418"/>
    </row>
    <row r="57" spans="1:21">
      <c r="J57" s="98"/>
      <c r="N57"/>
      <c r="R57" s="418"/>
    </row>
    <row r="58" spans="1:21">
      <c r="C58" s="21" t="s">
        <v>21</v>
      </c>
      <c r="D58" s="22">
        <v>1700</v>
      </c>
      <c r="J58" s="98"/>
      <c r="N58"/>
      <c r="R58" s="418"/>
    </row>
    <row r="59" spans="1:21">
      <c r="C59" s="23" t="s">
        <v>22</v>
      </c>
      <c r="D59" s="24">
        <v>0.33333333333333331</v>
      </c>
      <c r="J59" s="98"/>
      <c r="N59"/>
      <c r="R59" s="418"/>
    </row>
    <row r="60" spans="1:21">
      <c r="J60" s="98"/>
      <c r="N60"/>
      <c r="R60" s="418"/>
    </row>
    <row r="61" spans="1:21" ht="15.75">
      <c r="J61" s="98"/>
      <c r="K61" s="124"/>
      <c r="N61"/>
      <c r="R61" s="418"/>
    </row>
    <row r="62" spans="1:21">
      <c r="N62"/>
    </row>
    <row r="63" spans="1:21" ht="15.75">
      <c r="A63" s="164">
        <v>2016</v>
      </c>
      <c r="B63" s="13" t="s">
        <v>9</v>
      </c>
      <c r="C63" s="13" t="s">
        <v>15</v>
      </c>
      <c r="D63" s="13" t="s">
        <v>16</v>
      </c>
      <c r="E63" s="13" t="s">
        <v>17</v>
      </c>
      <c r="F63" s="13" t="s">
        <v>16</v>
      </c>
      <c r="G63" s="13" t="s">
        <v>17</v>
      </c>
      <c r="H63" s="155" t="s">
        <v>16</v>
      </c>
      <c r="I63" s="155" t="s">
        <v>119</v>
      </c>
      <c r="K63" s="98"/>
      <c r="N63"/>
      <c r="O63" s="416">
        <v>1</v>
      </c>
      <c r="R63" s="418" t="s">
        <v>63</v>
      </c>
      <c r="S63" s="418"/>
    </row>
    <row r="64" spans="1:21">
      <c r="A64" s="106">
        <v>42370</v>
      </c>
      <c r="B64" s="418">
        <v>290</v>
      </c>
      <c r="C64" s="418">
        <v>50</v>
      </c>
      <c r="D64" s="15"/>
      <c r="E64" s="16"/>
      <c r="F64" s="15"/>
      <c r="G64" s="16"/>
      <c r="H64" s="15"/>
      <c r="I64" s="15"/>
      <c r="J64" s="15">
        <f t="shared" ref="J64:J75" si="3">(B64+C64)*R64-D64-F64-H64</f>
        <v>340</v>
      </c>
      <c r="K64" s="73"/>
      <c r="L64" s="17" t="s">
        <v>112</v>
      </c>
      <c r="M64" s="73"/>
      <c r="N64"/>
      <c r="P64" s="65">
        <v>31</v>
      </c>
      <c r="Q64" s="65">
        <v>31</v>
      </c>
      <c r="R64" s="75">
        <f>P64/Q64</f>
        <v>1</v>
      </c>
      <c r="S64" s="418"/>
    </row>
    <row r="65" spans="1:21">
      <c r="A65" s="106">
        <v>42401</v>
      </c>
      <c r="B65" s="418">
        <v>290</v>
      </c>
      <c r="C65" s="418">
        <v>50</v>
      </c>
      <c r="D65" s="15"/>
      <c r="E65" s="16"/>
      <c r="F65" s="15"/>
      <c r="G65" s="16"/>
      <c r="H65" s="15"/>
      <c r="I65" s="15"/>
      <c r="J65" s="15">
        <f t="shared" si="3"/>
        <v>340</v>
      </c>
      <c r="K65" s="73"/>
      <c r="L65" s="17"/>
      <c r="M65" s="73"/>
      <c r="N65"/>
      <c r="P65" s="65">
        <v>28</v>
      </c>
      <c r="Q65" s="65">
        <v>28</v>
      </c>
      <c r="R65" s="75">
        <f t="shared" ref="R65:R75" si="4">P65/Q65</f>
        <v>1</v>
      </c>
      <c r="S65" s="418"/>
    </row>
    <row r="66" spans="1:21">
      <c r="A66" s="106">
        <v>42430</v>
      </c>
      <c r="B66" s="418">
        <v>290</v>
      </c>
      <c r="C66" s="418">
        <v>50</v>
      </c>
      <c r="D66" s="15"/>
      <c r="E66" s="16"/>
      <c r="F66" s="15"/>
      <c r="G66" s="16"/>
      <c r="J66" s="15">
        <f t="shared" si="3"/>
        <v>340</v>
      </c>
      <c r="K66" s="73"/>
      <c r="L66" s="17"/>
      <c r="M66" s="73"/>
      <c r="N66"/>
      <c r="P66" s="65">
        <v>31</v>
      </c>
      <c r="Q66" s="65">
        <v>31</v>
      </c>
      <c r="R66" s="75">
        <f t="shared" si="4"/>
        <v>1</v>
      </c>
      <c r="S66" s="418"/>
    </row>
    <row r="67" spans="1:21">
      <c r="A67" s="106">
        <v>42461</v>
      </c>
      <c r="B67" s="418">
        <v>290</v>
      </c>
      <c r="C67" s="418">
        <v>50</v>
      </c>
      <c r="D67" s="15"/>
      <c r="E67" s="16"/>
      <c r="F67" s="15"/>
      <c r="G67" s="16"/>
      <c r="H67" s="15"/>
      <c r="I67" s="15"/>
      <c r="J67" s="15">
        <f t="shared" si="3"/>
        <v>340</v>
      </c>
      <c r="K67" s="73"/>
      <c r="L67" s="17"/>
      <c r="M67" s="73"/>
      <c r="N67"/>
      <c r="P67" s="65">
        <v>30</v>
      </c>
      <c r="Q67" s="65">
        <v>30</v>
      </c>
      <c r="R67" s="75">
        <f t="shared" si="4"/>
        <v>1</v>
      </c>
      <c r="S67" s="418"/>
    </row>
    <row r="68" spans="1:21">
      <c r="A68" s="106">
        <v>42491</v>
      </c>
      <c r="B68" s="418">
        <v>290</v>
      </c>
      <c r="C68" s="418">
        <v>50</v>
      </c>
      <c r="D68" s="15"/>
      <c r="E68" s="16"/>
      <c r="F68" s="15"/>
      <c r="G68" s="16"/>
      <c r="H68" s="15"/>
      <c r="I68" s="15"/>
      <c r="J68" s="15">
        <f t="shared" si="3"/>
        <v>340</v>
      </c>
      <c r="K68" s="73"/>
      <c r="L68" s="17"/>
      <c r="M68" s="73"/>
      <c r="N68"/>
      <c r="P68" s="65">
        <v>31</v>
      </c>
      <c r="Q68" s="65">
        <v>31</v>
      </c>
      <c r="R68" s="75">
        <f t="shared" si="4"/>
        <v>1</v>
      </c>
      <c r="S68" s="418"/>
    </row>
    <row r="69" spans="1:21">
      <c r="A69" s="106">
        <v>42522</v>
      </c>
      <c r="B69" s="418">
        <v>290</v>
      </c>
      <c r="C69" s="418">
        <v>50</v>
      </c>
      <c r="D69" s="15"/>
      <c r="E69" s="16"/>
      <c r="F69" s="15"/>
      <c r="G69" s="16"/>
      <c r="H69" s="15"/>
      <c r="I69" s="15"/>
      <c r="J69" s="15">
        <f t="shared" si="3"/>
        <v>340</v>
      </c>
      <c r="K69" s="73"/>
      <c r="L69" s="17"/>
      <c r="M69" s="73"/>
      <c r="N69"/>
      <c r="P69" s="65">
        <v>30</v>
      </c>
      <c r="Q69" s="65">
        <v>30</v>
      </c>
      <c r="R69" s="75">
        <f t="shared" si="4"/>
        <v>1</v>
      </c>
      <c r="S69" s="418"/>
    </row>
    <row r="70" spans="1:21">
      <c r="A70" s="106">
        <v>42552</v>
      </c>
      <c r="B70" s="418">
        <v>290</v>
      </c>
      <c r="C70" s="418">
        <v>50</v>
      </c>
      <c r="D70" s="15"/>
      <c r="E70" s="16"/>
      <c r="F70" s="15"/>
      <c r="G70" s="16"/>
      <c r="H70" s="15"/>
      <c r="I70" s="15"/>
      <c r="J70" s="15">
        <f t="shared" si="3"/>
        <v>340</v>
      </c>
      <c r="K70" s="73"/>
      <c r="L70" s="17"/>
      <c r="M70" s="73"/>
      <c r="N70"/>
      <c r="P70" s="65">
        <v>31</v>
      </c>
      <c r="Q70" s="65">
        <v>31</v>
      </c>
      <c r="R70" s="75">
        <f t="shared" si="4"/>
        <v>1</v>
      </c>
      <c r="S70" s="418"/>
    </row>
    <row r="71" spans="1:21">
      <c r="A71" s="106">
        <v>42583</v>
      </c>
      <c r="B71" s="418">
        <v>290</v>
      </c>
      <c r="C71" s="418">
        <v>50</v>
      </c>
      <c r="D71" s="15"/>
      <c r="E71" s="16"/>
      <c r="F71" s="15"/>
      <c r="G71" s="16"/>
      <c r="H71" s="15"/>
      <c r="I71" s="15"/>
      <c r="J71" s="15">
        <f t="shared" si="3"/>
        <v>340</v>
      </c>
      <c r="K71" s="73"/>
      <c r="L71" s="17"/>
      <c r="M71" s="73"/>
      <c r="N71"/>
      <c r="P71" s="65">
        <v>31</v>
      </c>
      <c r="Q71" s="65">
        <v>31</v>
      </c>
      <c r="R71" s="75">
        <f t="shared" si="4"/>
        <v>1</v>
      </c>
      <c r="S71" s="418"/>
    </row>
    <row r="72" spans="1:21">
      <c r="A72" s="106">
        <v>42614</v>
      </c>
      <c r="B72" s="418">
        <v>290</v>
      </c>
      <c r="C72" s="418">
        <v>50</v>
      </c>
      <c r="D72" s="15"/>
      <c r="E72" s="16"/>
      <c r="F72" s="15"/>
      <c r="G72" s="16"/>
      <c r="H72" s="15"/>
      <c r="I72" s="15"/>
      <c r="J72" s="15">
        <f t="shared" si="3"/>
        <v>340</v>
      </c>
      <c r="K72" s="73"/>
      <c r="L72" s="17"/>
      <c r="M72" s="73"/>
      <c r="N72"/>
      <c r="P72" s="65">
        <v>30</v>
      </c>
      <c r="Q72" s="65">
        <v>30</v>
      </c>
      <c r="R72" s="75">
        <f t="shared" si="4"/>
        <v>1</v>
      </c>
      <c r="S72" s="418"/>
    </row>
    <row r="73" spans="1:21">
      <c r="A73" s="106">
        <v>42644</v>
      </c>
      <c r="B73" s="418">
        <v>290</v>
      </c>
      <c r="C73" s="418">
        <v>50</v>
      </c>
      <c r="D73" s="15"/>
      <c r="E73" s="16"/>
      <c r="F73" s="15"/>
      <c r="G73" s="16"/>
      <c r="H73" s="15"/>
      <c r="I73" s="15"/>
      <c r="J73" s="15">
        <f t="shared" si="3"/>
        <v>340</v>
      </c>
      <c r="K73" s="73"/>
      <c r="L73" s="17"/>
      <c r="M73" s="73"/>
      <c r="N73"/>
      <c r="P73" s="65">
        <v>31</v>
      </c>
      <c r="Q73" s="65">
        <v>31</v>
      </c>
      <c r="R73" s="75">
        <f t="shared" si="4"/>
        <v>1</v>
      </c>
      <c r="S73" s="418"/>
    </row>
    <row r="74" spans="1:21">
      <c r="A74" s="106">
        <v>42675</v>
      </c>
      <c r="B74" s="418">
        <v>290</v>
      </c>
      <c r="C74" s="418">
        <v>50</v>
      </c>
      <c r="D74" s="15"/>
      <c r="E74" s="16"/>
      <c r="F74" s="15"/>
      <c r="G74" s="16"/>
      <c r="H74" s="15"/>
      <c r="I74" s="15"/>
      <c r="J74" s="15">
        <f t="shared" si="3"/>
        <v>340</v>
      </c>
      <c r="K74" s="73"/>
      <c r="L74" s="17"/>
      <c r="M74" s="73"/>
      <c r="N74"/>
      <c r="P74" s="65">
        <v>30</v>
      </c>
      <c r="Q74" s="65">
        <v>30</v>
      </c>
      <c r="R74" s="75">
        <f t="shared" si="4"/>
        <v>1</v>
      </c>
      <c r="S74" s="418" t="s">
        <v>99</v>
      </c>
      <c r="T74" t="e">
        <f>VLOOKUP(L74,Loc_histo,4,0)</f>
        <v>#N/A</v>
      </c>
      <c r="U74" s="422"/>
    </row>
    <row r="75" spans="1:21">
      <c r="A75" s="106">
        <v>42705</v>
      </c>
      <c r="B75" s="418">
        <v>290</v>
      </c>
      <c r="C75" s="418">
        <v>50</v>
      </c>
      <c r="D75" s="15"/>
      <c r="E75" s="16"/>
      <c r="F75" s="15"/>
      <c r="G75" s="16"/>
      <c r="H75" s="15"/>
      <c r="I75" s="15"/>
      <c r="J75" s="15">
        <f t="shared" si="3"/>
        <v>340</v>
      </c>
      <c r="K75" s="73"/>
      <c r="L75" s="17" t="s">
        <v>112</v>
      </c>
      <c r="M75" s="73"/>
      <c r="N75"/>
      <c r="P75" s="65">
        <v>31</v>
      </c>
      <c r="Q75" s="65">
        <v>31</v>
      </c>
      <c r="R75" s="75">
        <f t="shared" si="4"/>
        <v>1</v>
      </c>
      <c r="S75" s="418" t="s">
        <v>99</v>
      </c>
      <c r="T75" t="e">
        <f>IF(VLOOKUP(L75,Locataires!C9:L10,5,0)="Oui",VLOOKUP(L75,Locataires!C9:L10,4,0),"xxx")</f>
        <v>#N/A</v>
      </c>
      <c r="U75" s="422"/>
    </row>
    <row r="76" spans="1:21">
      <c r="B76" s="19" t="s">
        <v>19</v>
      </c>
      <c r="C76" s="20">
        <v>5100</v>
      </c>
      <c r="J76" s="98"/>
      <c r="K76" s="73"/>
      <c r="N76"/>
      <c r="R76" s="418"/>
    </row>
    <row r="77" spans="1:21">
      <c r="C77" s="21" t="s">
        <v>20</v>
      </c>
      <c r="D77" s="15">
        <v>0</v>
      </c>
      <c r="F77" s="15"/>
      <c r="J77" s="98"/>
      <c r="N77"/>
      <c r="R77" s="418"/>
    </row>
    <row r="78" spans="1:21">
      <c r="J78" s="98"/>
      <c r="N78"/>
      <c r="R78" s="418"/>
    </row>
    <row r="79" spans="1:21">
      <c r="C79" s="21" t="s">
        <v>21</v>
      </c>
      <c r="D79" s="22"/>
      <c r="J79" s="98"/>
      <c r="N79"/>
      <c r="R79" s="418"/>
    </row>
    <row r="80" spans="1:21">
      <c r="C80" s="23" t="s">
        <v>22</v>
      </c>
      <c r="D80" s="24">
        <v>0.33333333333333331</v>
      </c>
      <c r="J80" s="98"/>
      <c r="N80"/>
      <c r="R80" s="418"/>
    </row>
    <row r="81" spans="1:21">
      <c r="J81" s="98"/>
      <c r="N81"/>
      <c r="R81" s="418"/>
    </row>
    <row r="82" spans="1:21" ht="15.75">
      <c r="J82" s="98"/>
      <c r="K82" s="124"/>
      <c r="N82"/>
      <c r="R82" s="418"/>
    </row>
    <row r="83" spans="1:21">
      <c r="N83"/>
    </row>
    <row r="84" spans="1:21" ht="15.75">
      <c r="A84" s="164">
        <v>2017</v>
      </c>
      <c r="B84" s="13" t="s">
        <v>9</v>
      </c>
      <c r="C84" s="13" t="s">
        <v>15</v>
      </c>
      <c r="D84" s="13" t="s">
        <v>16</v>
      </c>
      <c r="E84" s="13" t="s">
        <v>17</v>
      </c>
      <c r="F84" s="13" t="s">
        <v>16</v>
      </c>
      <c r="G84" s="13" t="s">
        <v>17</v>
      </c>
      <c r="H84" s="155" t="s">
        <v>16</v>
      </c>
      <c r="I84" s="155" t="s">
        <v>119</v>
      </c>
      <c r="K84" s="98"/>
      <c r="N84"/>
      <c r="O84" s="416">
        <v>1</v>
      </c>
      <c r="R84" s="418" t="s">
        <v>63</v>
      </c>
      <c r="S84" s="418"/>
    </row>
    <row r="85" spans="1:21">
      <c r="A85" s="106">
        <v>42736</v>
      </c>
      <c r="B85" s="418">
        <v>290</v>
      </c>
      <c r="C85" s="418">
        <v>50</v>
      </c>
      <c r="D85" s="15">
        <v>272</v>
      </c>
      <c r="E85" s="16">
        <v>42009</v>
      </c>
      <c r="F85" s="15">
        <v>68</v>
      </c>
      <c r="G85" s="16">
        <v>42381</v>
      </c>
      <c r="H85" s="15"/>
      <c r="I85" s="15"/>
      <c r="J85" s="15">
        <f t="shared" ref="J85:J96" si="5">(B85+C85)*R85-D85-F85-H85</f>
        <v>0</v>
      </c>
      <c r="K85" s="73">
        <v>42409</v>
      </c>
      <c r="L85" s="17" t="s">
        <v>18</v>
      </c>
      <c r="M85" s="73" t="s">
        <v>126</v>
      </c>
      <c r="N85"/>
      <c r="P85" s="65">
        <v>31</v>
      </c>
      <c r="Q85" s="65">
        <v>31</v>
      </c>
      <c r="R85" s="75">
        <f>P85/Q85</f>
        <v>1</v>
      </c>
      <c r="S85" s="418"/>
    </row>
    <row r="86" spans="1:21">
      <c r="A86" s="106">
        <v>42767</v>
      </c>
      <c r="B86" s="418">
        <v>290</v>
      </c>
      <c r="C86" s="418">
        <v>50</v>
      </c>
      <c r="D86" s="15">
        <v>272</v>
      </c>
      <c r="E86" s="16">
        <v>42405</v>
      </c>
      <c r="F86" s="15">
        <v>68</v>
      </c>
      <c r="G86" s="16">
        <v>42409</v>
      </c>
      <c r="H86" s="15"/>
      <c r="I86" s="15"/>
      <c r="J86" s="15">
        <f t="shared" si="5"/>
        <v>0</v>
      </c>
      <c r="K86" s="73">
        <v>42409</v>
      </c>
      <c r="L86" s="17" t="s">
        <v>18</v>
      </c>
      <c r="M86" s="73" t="s">
        <v>126</v>
      </c>
      <c r="N86"/>
      <c r="P86" s="65">
        <v>28</v>
      </c>
      <c r="Q86" s="65">
        <v>28</v>
      </c>
      <c r="R86" s="75">
        <f t="shared" ref="R86:R96" si="6">P86/Q86</f>
        <v>1</v>
      </c>
      <c r="S86" s="418"/>
    </row>
    <row r="87" spans="1:21">
      <c r="A87" s="106">
        <v>42795</v>
      </c>
      <c r="B87" s="418">
        <v>290</v>
      </c>
      <c r="C87" s="418">
        <v>50</v>
      </c>
      <c r="D87" s="15">
        <v>272</v>
      </c>
      <c r="E87" s="16">
        <v>42433</v>
      </c>
      <c r="F87" s="15">
        <v>68</v>
      </c>
      <c r="G87" s="16">
        <v>42443</v>
      </c>
      <c r="J87" s="15">
        <f t="shared" si="5"/>
        <v>0</v>
      </c>
      <c r="K87" s="73">
        <v>42443</v>
      </c>
      <c r="L87" s="17" t="s">
        <v>18</v>
      </c>
      <c r="M87" s="73" t="s">
        <v>126</v>
      </c>
      <c r="N87"/>
      <c r="P87" s="65">
        <v>31</v>
      </c>
      <c r="Q87" s="65">
        <v>31</v>
      </c>
      <c r="R87" s="75">
        <f t="shared" si="6"/>
        <v>1</v>
      </c>
      <c r="S87" s="418"/>
    </row>
    <row r="88" spans="1:21">
      <c r="A88" s="106">
        <v>42826</v>
      </c>
      <c r="B88" s="418">
        <v>290</v>
      </c>
      <c r="C88" s="418">
        <v>50</v>
      </c>
      <c r="D88" s="15">
        <v>250.31</v>
      </c>
      <c r="E88" s="16">
        <v>38811</v>
      </c>
      <c r="F88" s="15">
        <v>90</v>
      </c>
      <c r="G88" s="16">
        <v>42474</v>
      </c>
      <c r="H88" s="15"/>
      <c r="I88" s="15"/>
      <c r="J88" s="15">
        <f t="shared" si="5"/>
        <v>-0.31000000000000227</v>
      </c>
      <c r="K88" s="73">
        <v>42474</v>
      </c>
      <c r="L88" s="17" t="s">
        <v>18</v>
      </c>
      <c r="M88" s="73" t="s">
        <v>126</v>
      </c>
      <c r="N88"/>
      <c r="P88" s="65">
        <v>30</v>
      </c>
      <c r="Q88" s="65">
        <v>30</v>
      </c>
      <c r="R88" s="75">
        <f t="shared" si="6"/>
        <v>1</v>
      </c>
      <c r="S88" s="418"/>
    </row>
    <row r="89" spans="1:21">
      <c r="A89" s="106">
        <v>42856</v>
      </c>
      <c r="B89" s="418">
        <v>290</v>
      </c>
      <c r="C89" s="418">
        <v>50</v>
      </c>
      <c r="D89" s="15">
        <v>272</v>
      </c>
      <c r="E89" s="16">
        <v>42496</v>
      </c>
      <c r="F89" s="15">
        <v>68</v>
      </c>
      <c r="G89" s="16">
        <v>42502</v>
      </c>
      <c r="H89" s="15"/>
      <c r="I89" s="15"/>
      <c r="J89" s="15">
        <f t="shared" si="5"/>
        <v>0</v>
      </c>
      <c r="K89" s="73">
        <v>42502</v>
      </c>
      <c r="L89" s="17" t="s">
        <v>18</v>
      </c>
      <c r="M89" s="73" t="s">
        <v>126</v>
      </c>
      <c r="N89"/>
      <c r="P89" s="65">
        <v>31</v>
      </c>
      <c r="Q89" s="65">
        <v>31</v>
      </c>
      <c r="R89" s="75">
        <f t="shared" si="6"/>
        <v>1</v>
      </c>
      <c r="S89" s="418"/>
    </row>
    <row r="90" spans="1:21">
      <c r="A90" s="106">
        <v>42887</v>
      </c>
      <c r="B90" s="418">
        <v>290</v>
      </c>
      <c r="C90" s="418">
        <v>50</v>
      </c>
      <c r="D90" s="15">
        <v>272</v>
      </c>
      <c r="E90" s="16">
        <v>42527</v>
      </c>
      <c r="F90" s="15">
        <v>68</v>
      </c>
      <c r="G90" s="16">
        <v>42536</v>
      </c>
      <c r="H90" s="15"/>
      <c r="I90" s="15"/>
      <c r="J90" s="15">
        <f t="shared" si="5"/>
        <v>0</v>
      </c>
      <c r="K90" s="73">
        <v>42536</v>
      </c>
      <c r="L90" s="17" t="s">
        <v>18</v>
      </c>
      <c r="M90" s="73" t="s">
        <v>126</v>
      </c>
      <c r="N90"/>
      <c r="P90" s="65">
        <v>30</v>
      </c>
      <c r="Q90" s="65">
        <v>30</v>
      </c>
      <c r="R90" s="75">
        <f t="shared" si="6"/>
        <v>1</v>
      </c>
      <c r="S90" s="418"/>
    </row>
    <row r="91" spans="1:21">
      <c r="A91" s="106">
        <v>42917</v>
      </c>
      <c r="B91" s="418">
        <v>290</v>
      </c>
      <c r="C91" s="418">
        <v>50</v>
      </c>
      <c r="D91" s="15">
        <v>272</v>
      </c>
      <c r="E91" s="16">
        <v>42556</v>
      </c>
      <c r="F91" s="15">
        <v>68</v>
      </c>
      <c r="G91" s="16">
        <v>42560</v>
      </c>
      <c r="H91" s="15"/>
      <c r="I91" s="15"/>
      <c r="J91" s="15">
        <f t="shared" si="5"/>
        <v>0</v>
      </c>
      <c r="K91" s="73">
        <v>42560</v>
      </c>
      <c r="L91" s="17" t="s">
        <v>18</v>
      </c>
      <c r="M91" s="73" t="s">
        <v>126</v>
      </c>
      <c r="N91"/>
      <c r="P91" s="65">
        <v>31</v>
      </c>
      <c r="Q91" s="65">
        <v>31</v>
      </c>
      <c r="R91" s="75">
        <f t="shared" si="6"/>
        <v>1</v>
      </c>
      <c r="S91" s="418"/>
    </row>
    <row r="92" spans="1:21">
      <c r="A92" s="106">
        <v>42948</v>
      </c>
      <c r="B92" s="418">
        <v>290</v>
      </c>
      <c r="C92" s="418">
        <v>50</v>
      </c>
      <c r="D92" s="15">
        <v>272</v>
      </c>
      <c r="E92" s="16">
        <v>42587</v>
      </c>
      <c r="F92" s="15">
        <v>68</v>
      </c>
      <c r="G92" s="16">
        <v>42592</v>
      </c>
      <c r="H92" s="15"/>
      <c r="I92" s="15"/>
      <c r="J92" s="15">
        <f t="shared" si="5"/>
        <v>0</v>
      </c>
      <c r="K92" s="73">
        <v>42592</v>
      </c>
      <c r="L92" s="17" t="s">
        <v>18</v>
      </c>
      <c r="M92" s="73" t="s">
        <v>126</v>
      </c>
      <c r="N92"/>
      <c r="P92" s="65">
        <v>31</v>
      </c>
      <c r="Q92" s="65">
        <v>31</v>
      </c>
      <c r="R92" s="75">
        <f t="shared" si="6"/>
        <v>1</v>
      </c>
      <c r="S92" s="418"/>
    </row>
    <row r="93" spans="1:21">
      <c r="A93" s="106">
        <v>42979</v>
      </c>
      <c r="B93" s="418">
        <v>290</v>
      </c>
      <c r="C93" s="418">
        <v>50</v>
      </c>
      <c r="D93" s="15">
        <v>272</v>
      </c>
      <c r="E93" s="16">
        <v>42618</v>
      </c>
      <c r="F93" s="15">
        <v>68</v>
      </c>
      <c r="G93" s="16">
        <v>42628</v>
      </c>
      <c r="H93" s="15"/>
      <c r="I93" s="15"/>
      <c r="J93" s="15">
        <f t="shared" si="5"/>
        <v>0</v>
      </c>
      <c r="K93" s="73">
        <v>42628</v>
      </c>
      <c r="L93" s="17" t="s">
        <v>18</v>
      </c>
      <c r="M93" s="73" t="s">
        <v>126</v>
      </c>
      <c r="N93"/>
      <c r="P93" s="65">
        <v>30</v>
      </c>
      <c r="Q93" s="65">
        <v>30</v>
      </c>
      <c r="R93" s="75">
        <f t="shared" si="6"/>
        <v>1</v>
      </c>
      <c r="S93" s="418"/>
    </row>
    <row r="94" spans="1:21">
      <c r="A94" s="106">
        <v>43009</v>
      </c>
      <c r="B94" s="418">
        <v>290</v>
      </c>
      <c r="C94" s="418">
        <v>50</v>
      </c>
      <c r="D94" s="15">
        <v>272</v>
      </c>
      <c r="E94" s="16">
        <v>42648</v>
      </c>
      <c r="F94" s="15">
        <v>68</v>
      </c>
      <c r="G94" s="16">
        <v>42653</v>
      </c>
      <c r="H94" s="15"/>
      <c r="I94" s="15"/>
      <c r="J94" s="15">
        <f t="shared" si="5"/>
        <v>0</v>
      </c>
      <c r="K94" s="73">
        <v>42653</v>
      </c>
      <c r="L94" s="17" t="s">
        <v>18</v>
      </c>
      <c r="M94" s="73" t="s">
        <v>126</v>
      </c>
      <c r="N94"/>
      <c r="P94" s="65">
        <v>31</v>
      </c>
      <c r="Q94" s="65">
        <v>31</v>
      </c>
      <c r="R94" s="75">
        <f t="shared" si="6"/>
        <v>1</v>
      </c>
      <c r="S94" s="418"/>
    </row>
    <row r="95" spans="1:21">
      <c r="A95" s="106">
        <v>43040</v>
      </c>
      <c r="B95" s="418">
        <v>290</v>
      </c>
      <c r="C95" s="418">
        <v>50</v>
      </c>
      <c r="D95" s="15">
        <v>240</v>
      </c>
      <c r="E95" s="16">
        <v>42710</v>
      </c>
      <c r="F95" s="15">
        <v>100</v>
      </c>
      <c r="G95" s="16">
        <v>42688</v>
      </c>
      <c r="H95" s="15"/>
      <c r="I95" s="15"/>
      <c r="J95" s="15">
        <f t="shared" si="5"/>
        <v>0</v>
      </c>
      <c r="K95" s="73">
        <v>42689</v>
      </c>
      <c r="L95" s="17" t="s">
        <v>112</v>
      </c>
      <c r="M95" s="73" t="s">
        <v>126</v>
      </c>
      <c r="N95"/>
      <c r="P95" s="65">
        <v>30</v>
      </c>
      <c r="Q95" s="65">
        <v>30</v>
      </c>
      <c r="R95" s="75">
        <f t="shared" si="6"/>
        <v>1</v>
      </c>
      <c r="S95" s="418" t="s">
        <v>99</v>
      </c>
      <c r="T95" t="e">
        <f>VLOOKUP(L95,Locataires!C3:L13,4,0)</f>
        <v>#N/A</v>
      </c>
      <c r="U95" s="422"/>
    </row>
    <row r="96" spans="1:21">
      <c r="A96" s="106">
        <v>43070</v>
      </c>
      <c r="B96" s="418">
        <v>290</v>
      </c>
      <c r="C96" s="418">
        <v>50</v>
      </c>
      <c r="D96" s="15">
        <v>272</v>
      </c>
      <c r="E96" s="16"/>
      <c r="F96" s="15"/>
      <c r="G96" s="16"/>
      <c r="H96" s="15"/>
      <c r="I96" s="15"/>
      <c r="J96" s="15">
        <f t="shared" si="5"/>
        <v>68</v>
      </c>
      <c r="K96" s="73"/>
      <c r="L96" s="17" t="s">
        <v>112</v>
      </c>
      <c r="M96" s="73" t="s">
        <v>126</v>
      </c>
      <c r="N96"/>
      <c r="P96" s="65">
        <v>31</v>
      </c>
      <c r="Q96" s="65">
        <v>31</v>
      </c>
      <c r="R96" s="75">
        <f t="shared" si="6"/>
        <v>1</v>
      </c>
      <c r="S96" s="418"/>
      <c r="T96" t="e">
        <f>IF(VLOOKUP(L96,Locataires!C3:L13,5,0)="Oui","envoi","xxx")</f>
        <v>#N/A</v>
      </c>
      <c r="U96" s="422"/>
    </row>
    <row r="97" spans="2:18">
      <c r="B97" s="19" t="s">
        <v>19</v>
      </c>
      <c r="C97" s="20">
        <v>5100</v>
      </c>
      <c r="J97" s="98"/>
      <c r="K97" s="73"/>
      <c r="N97"/>
      <c r="R97" s="418"/>
    </row>
    <row r="98" spans="2:18">
      <c r="C98" s="21" t="s">
        <v>20</v>
      </c>
      <c r="D98" s="15">
        <v>0</v>
      </c>
      <c r="F98" s="15">
        <v>1700</v>
      </c>
      <c r="J98" s="98"/>
      <c r="N98"/>
      <c r="R98" s="418"/>
    </row>
    <row r="99" spans="2:18">
      <c r="J99" s="98"/>
      <c r="N99"/>
      <c r="R99" s="418"/>
    </row>
    <row r="100" spans="2:18">
      <c r="C100" s="21" t="s">
        <v>21</v>
      </c>
      <c r="D100" s="22">
        <v>1700</v>
      </c>
      <c r="J100" s="98"/>
      <c r="N100"/>
      <c r="R100" s="418"/>
    </row>
    <row r="101" spans="2:18">
      <c r="C101" s="23" t="s">
        <v>22</v>
      </c>
      <c r="D101" s="24">
        <v>0.33333333333333331</v>
      </c>
      <c r="J101" s="98"/>
      <c r="N101"/>
      <c r="R101" s="418"/>
    </row>
    <row r="102" spans="2:18">
      <c r="J102" s="98"/>
      <c r="N102"/>
      <c r="R102" s="418"/>
    </row>
    <row r="103" spans="2:18" ht="15.75">
      <c r="J103" s="98"/>
      <c r="K103" s="124"/>
      <c r="N103"/>
      <c r="R103" s="418"/>
    </row>
  </sheetData>
  <sheetProtection selectLockedCells="1" selectUnlockedCells="1"/>
  <mergeCells count="11">
    <mergeCell ref="B5:C5"/>
    <mergeCell ref="D5:E5"/>
    <mergeCell ref="F5:G5"/>
    <mergeCell ref="H5:I5"/>
    <mergeCell ref="P5:R5"/>
    <mergeCell ref="C2:D2"/>
    <mergeCell ref="E2:G2"/>
    <mergeCell ref="I2:J2"/>
    <mergeCell ref="C3:E3"/>
    <mergeCell ref="F3:G3"/>
    <mergeCell ref="I3:J3"/>
  </mergeCells>
  <conditionalFormatting sqref="K64">
    <cfRule type="cellIs" dxfId="15" priority="8" stopIfTrue="1" operator="greaterThan">
      <formula>0</formula>
    </cfRule>
  </conditionalFormatting>
  <conditionalFormatting sqref="K65:K76">
    <cfRule type="cellIs" dxfId="14" priority="7" stopIfTrue="1" operator="greaterThan">
      <formula>0</formula>
    </cfRule>
  </conditionalFormatting>
  <conditionalFormatting sqref="K86:K97">
    <cfRule type="cellIs" dxfId="13" priority="5" stopIfTrue="1" operator="greaterThan">
      <formula>0</formula>
    </cfRule>
  </conditionalFormatting>
  <conditionalFormatting sqref="K85">
    <cfRule type="cellIs" dxfId="12" priority="6" stopIfTrue="1" operator="greaterThan">
      <formula>0</formula>
    </cfRule>
  </conditionalFormatting>
  <conditionalFormatting sqref="K44:K55">
    <cfRule type="cellIs" dxfId="11" priority="3" stopIfTrue="1" operator="greaterThan">
      <formula>0</formula>
    </cfRule>
  </conditionalFormatting>
  <conditionalFormatting sqref="K43">
    <cfRule type="cellIs" dxfId="10" priority="4" stopIfTrue="1" operator="greaterThan">
      <formula>0</formula>
    </cfRule>
  </conditionalFormatting>
  <conditionalFormatting sqref="A45:A54">
    <cfRule type="timePeriod" dxfId="9" priority="2" timePeriod="lastMonth">
      <formula>AND(MONTH(A45)=MONTH(EDATE(TODAY(),0-1)),YEAR(A45)=YEAR(EDATE(TODAY(),0-1)))</formula>
    </cfRule>
  </conditionalFormatting>
  <conditionalFormatting sqref="H7:I18">
    <cfRule type="cellIs" dxfId="8" priority="1" stopIfTrue="1" operator="greaterThan">
      <formula>0</formula>
    </cfRule>
  </conditionalFormatting>
  <dataValidations count="1">
    <dataValidation type="list" allowBlank="1" showInputMessage="1" showErrorMessage="1" sqref="S85:S96 S64:S75 S43:S54 S7:S18">
      <formula1>Oui_Non</formula1>
    </dataValidation>
  </dataValidations>
  <pageMargins left="0.7" right="0.7" top="0.75" bottom="0.75" header="0.51180555555555551" footer="0.51180555555555551"/>
  <pageSetup paperSize="9" firstPageNumber="0" orientation="portrait" horizontalDpi="300" verticalDpi="300" r:id="rId1"/>
  <headerFooter alignWithMargins="0"/>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9"/>
  <dimension ref="A1:X30"/>
  <sheetViews>
    <sheetView workbookViewId="0">
      <selection activeCell="F19" sqref="F19:G25"/>
    </sheetView>
  </sheetViews>
  <sheetFormatPr baseColWidth="10" defaultRowHeight="12.75"/>
  <cols>
    <col min="1" max="1" width="12.28515625" customWidth="1"/>
    <col min="3" max="3" width="7.7109375" customWidth="1"/>
    <col min="4" max="4" width="7.42578125" customWidth="1"/>
    <col min="5" max="6" width="9.5703125" customWidth="1"/>
    <col min="7" max="7" width="10.5703125" customWidth="1"/>
    <col min="9" max="9" width="14.28515625" customWidth="1"/>
    <col min="10" max="10" width="14.7109375" customWidth="1"/>
    <col min="11" max="11" width="16.7109375" customWidth="1"/>
    <col min="12" max="12" width="23.140625" customWidth="1"/>
    <col min="13" max="13" width="19.5703125" customWidth="1"/>
    <col min="14" max="14" width="8.42578125" customWidth="1"/>
    <col min="15" max="15" width="3.5703125" customWidth="1"/>
    <col min="16" max="16" width="3.85546875" customWidth="1"/>
    <col min="17" max="17" width="5.140625" customWidth="1"/>
    <col min="18" max="20" width="8.140625" customWidth="1"/>
    <col min="24" max="24" width="9.85546875" customWidth="1"/>
  </cols>
  <sheetData>
    <row r="1" spans="1:24">
      <c r="A1" s="1" t="s">
        <v>46</v>
      </c>
    </row>
    <row r="2" spans="1:24" ht="15">
      <c r="B2" s="2" t="s">
        <v>0</v>
      </c>
      <c r="C2" s="781" t="s">
        <v>1</v>
      </c>
      <c r="D2" s="781"/>
      <c r="E2" s="781" t="s">
        <v>2</v>
      </c>
      <c r="F2" s="781"/>
      <c r="G2" s="781"/>
      <c r="H2" s="782" t="s">
        <v>3</v>
      </c>
      <c r="I2" s="782"/>
      <c r="J2" s="3" t="s">
        <v>4</v>
      </c>
    </row>
    <row r="3" spans="1:24" ht="22.5">
      <c r="B3" s="2" t="s">
        <v>5</v>
      </c>
      <c r="C3" s="783" t="s">
        <v>96</v>
      </c>
      <c r="D3" s="783"/>
      <c r="E3" s="783"/>
      <c r="F3" s="784" t="s">
        <v>50</v>
      </c>
      <c r="G3" s="784"/>
      <c r="H3" s="785" t="s">
        <v>51</v>
      </c>
      <c r="I3" s="785"/>
      <c r="J3" s="4"/>
      <c r="N3" s="67" t="s">
        <v>52</v>
      </c>
      <c r="O3" s="418">
        <v>2</v>
      </c>
    </row>
    <row r="4" spans="1:24" ht="15">
      <c r="C4" s="5"/>
      <c r="D4" s="5"/>
      <c r="E4" s="5"/>
      <c r="F4" s="5"/>
      <c r="G4" s="5"/>
      <c r="H4" s="6"/>
      <c r="I4" s="5"/>
      <c r="J4" s="7"/>
    </row>
    <row r="5" spans="1:24" s="418" customFormat="1" ht="39.75" customHeight="1">
      <c r="A5" s="8"/>
      <c r="B5" s="787" t="s">
        <v>9</v>
      </c>
      <c r="C5" s="787"/>
      <c r="D5" s="788" t="s">
        <v>10</v>
      </c>
      <c r="E5" s="788"/>
      <c r="F5" s="789" t="s">
        <v>11</v>
      </c>
      <c r="G5" s="789"/>
      <c r="H5" s="790" t="s">
        <v>53</v>
      </c>
      <c r="I5" s="791"/>
      <c r="J5" s="72" t="s">
        <v>12</v>
      </c>
      <c r="K5" s="10" t="s">
        <v>13</v>
      </c>
      <c r="L5" s="8" t="s">
        <v>11</v>
      </c>
      <c r="M5" s="11" t="s">
        <v>14</v>
      </c>
      <c r="N5" s="9" t="s">
        <v>54</v>
      </c>
      <c r="O5" s="67" t="s">
        <v>52</v>
      </c>
      <c r="P5" s="672" t="s">
        <v>62</v>
      </c>
      <c r="Q5" s="672"/>
      <c r="R5" s="672"/>
      <c r="S5" s="77" t="s">
        <v>94</v>
      </c>
      <c r="T5" s="77" t="s">
        <v>101</v>
      </c>
      <c r="U5" s="77" t="s">
        <v>64</v>
      </c>
      <c r="X5" s="290" t="s">
        <v>70</v>
      </c>
    </row>
    <row r="6" spans="1:24">
      <c r="A6">
        <v>2017</v>
      </c>
      <c r="B6" s="13" t="s">
        <v>9</v>
      </c>
      <c r="C6" s="13" t="s">
        <v>15</v>
      </c>
      <c r="D6" s="13" t="s">
        <v>16</v>
      </c>
      <c r="E6" s="13" t="s">
        <v>17</v>
      </c>
      <c r="F6" s="13" t="s">
        <v>16</v>
      </c>
      <c r="G6" s="13" t="s">
        <v>17</v>
      </c>
      <c r="H6" s="155" t="s">
        <v>16</v>
      </c>
      <c r="I6" s="155" t="s">
        <v>119</v>
      </c>
      <c r="K6" s="98"/>
      <c r="O6" s="418">
        <v>2</v>
      </c>
      <c r="R6" s="418" t="s">
        <v>63</v>
      </c>
      <c r="S6" s="418"/>
    </row>
    <row r="7" spans="1:24" ht="12" customHeight="1">
      <c r="A7" s="187" t="s">
        <v>131</v>
      </c>
      <c r="B7" t="s">
        <v>327</v>
      </c>
      <c r="C7" t="s">
        <v>328</v>
      </c>
      <c r="D7" s="15" t="s">
        <v>223</v>
      </c>
      <c r="E7" s="16"/>
      <c r="F7" s="15" t="s">
        <v>340</v>
      </c>
      <c r="G7" s="16">
        <v>42738</v>
      </c>
      <c r="H7" s="15"/>
      <c r="I7" s="15"/>
      <c r="J7" t="s">
        <v>339</v>
      </c>
      <c r="K7" s="98">
        <v>42738</v>
      </c>
      <c r="L7" s="145" t="s">
        <v>371</v>
      </c>
      <c r="M7" s="98"/>
      <c r="P7" s="65">
        <v>31</v>
      </c>
      <c r="Q7" s="65">
        <v>31</v>
      </c>
      <c r="R7" s="75">
        <f>P7/Q7</f>
        <v>1</v>
      </c>
      <c r="S7" s="76" t="s">
        <v>99</v>
      </c>
      <c r="T7" t="str">
        <f>IF(L6&lt;&gt;"",VLOOKUP(L7,Locataires!C5:L8,4,0),"pas de Locataire")</f>
        <v>pas de Locataire</v>
      </c>
      <c r="U7" s="76" t="e">
        <f>IF(L7&lt;&gt;"",VLOOKUP(L7,Locataires!C5:L8,5,0),"?")</f>
        <v>#N/A</v>
      </c>
      <c r="V7" s="142">
        <v>42739</v>
      </c>
      <c r="W7" s="142">
        <v>42739</v>
      </c>
      <c r="X7" s="388">
        <v>2016</v>
      </c>
    </row>
    <row r="8" spans="1:24" ht="12" customHeight="1">
      <c r="A8" s="187" t="s">
        <v>147</v>
      </c>
      <c r="B8" t="s">
        <v>306</v>
      </c>
      <c r="C8" t="s">
        <v>317</v>
      </c>
      <c r="D8" s="15" t="s">
        <v>223</v>
      </c>
      <c r="E8" s="16"/>
      <c r="F8" s="15" t="s">
        <v>373</v>
      </c>
      <c r="G8" s="16">
        <v>42737</v>
      </c>
      <c r="H8" s="15"/>
      <c r="I8" s="15"/>
      <c r="J8" t="s">
        <v>430</v>
      </c>
      <c r="K8" s="98">
        <v>42768</v>
      </c>
      <c r="L8" s="145" t="s">
        <v>371</v>
      </c>
      <c r="M8" s="98"/>
      <c r="P8" s="65">
        <v>28</v>
      </c>
      <c r="Q8" s="65">
        <v>28</v>
      </c>
      <c r="R8" s="75">
        <f t="shared" ref="R8:R18" si="0">P8/Q8</f>
        <v>1</v>
      </c>
      <c r="S8" s="76" t="s">
        <v>99</v>
      </c>
      <c r="T8" t="e">
        <f>IF(L8&lt;&gt;"",VLOOKUP(L8,Locataires!C6:L8,4,0),"")</f>
        <v>#N/A</v>
      </c>
      <c r="U8" s="76" t="e">
        <f>IF(L8&lt;&gt;"",VLOOKUP(L8,Locataires!C6:L8,5,0),"?")</f>
        <v>#N/A</v>
      </c>
      <c r="V8" s="198">
        <v>42768.714479166665</v>
      </c>
      <c r="X8" s="388">
        <v>2016</v>
      </c>
    </row>
    <row r="9" spans="1:24" ht="12" customHeight="1">
      <c r="A9" s="187" t="s">
        <v>134</v>
      </c>
      <c r="B9" t="s">
        <v>307</v>
      </c>
      <c r="C9" t="s">
        <v>318</v>
      </c>
      <c r="D9" s="15" t="s">
        <v>223</v>
      </c>
      <c r="E9" s="16"/>
      <c r="F9" s="15" t="s">
        <v>374</v>
      </c>
      <c r="G9" s="16">
        <v>42737</v>
      </c>
      <c r="H9" s="15"/>
      <c r="I9" s="15"/>
      <c r="J9" t="s">
        <v>447</v>
      </c>
      <c r="K9" s="98"/>
      <c r="L9" s="419" t="s">
        <v>371</v>
      </c>
      <c r="M9" s="98"/>
      <c r="P9" s="65">
        <v>31</v>
      </c>
      <c r="Q9" s="65">
        <v>31</v>
      </c>
      <c r="R9" s="75">
        <f t="shared" si="0"/>
        <v>1</v>
      </c>
      <c r="S9" s="76" t="s">
        <v>99</v>
      </c>
      <c r="T9" t="e">
        <f>IF(L9&lt;&gt;"",VLOOKUP(L9,Locataires!C7:L8,4,0),"")</f>
        <v>#N/A</v>
      </c>
      <c r="U9" s="76" t="e">
        <f>IF(L9&lt;&gt;"",VLOOKUP(L9,Locataires!C7:L8,5,0),"?")</f>
        <v>#N/A</v>
      </c>
      <c r="V9" s="417" t="s">
        <v>116</v>
      </c>
      <c r="X9" s="388">
        <v>2016</v>
      </c>
    </row>
    <row r="10" spans="1:24" ht="12" customHeight="1">
      <c r="A10" s="187" t="s">
        <v>132</v>
      </c>
      <c r="B10" t="s">
        <v>308</v>
      </c>
      <c r="C10" t="s">
        <v>319</v>
      </c>
      <c r="D10" s="15" t="s">
        <v>223</v>
      </c>
      <c r="E10" s="16"/>
      <c r="F10" s="15" t="s">
        <v>375</v>
      </c>
      <c r="G10" s="16">
        <v>42737</v>
      </c>
      <c r="H10" s="15"/>
      <c r="I10" s="15"/>
      <c r="J10" t="s">
        <v>476</v>
      </c>
      <c r="K10" s="98"/>
      <c r="L10" s="419" t="s">
        <v>371</v>
      </c>
      <c r="M10" s="98"/>
      <c r="P10" s="65">
        <v>30</v>
      </c>
      <c r="Q10" s="65">
        <v>30</v>
      </c>
      <c r="R10" s="75">
        <f t="shared" si="0"/>
        <v>1</v>
      </c>
      <c r="S10" s="76" t="s">
        <v>99</v>
      </c>
      <c r="T10" t="e">
        <f>IF(L10&lt;&gt;"",VLOOKUP(L10,Locataires!C8:L8,4,0),"")</f>
        <v>#N/A</v>
      </c>
      <c r="U10" s="76" t="e">
        <f>IF(L10&lt;&gt;"",VLOOKUP(L10,Locataires!C8:L8,5,0),"?")</f>
        <v>#N/A</v>
      </c>
      <c r="V10" s="417" t="s">
        <v>116</v>
      </c>
      <c r="X10" s="388">
        <v>2016</v>
      </c>
    </row>
    <row r="11" spans="1:24" ht="12" customHeight="1">
      <c r="A11" s="187" t="s">
        <v>136</v>
      </c>
      <c r="B11" t="s">
        <v>309</v>
      </c>
      <c r="C11" t="s">
        <v>320</v>
      </c>
      <c r="D11" s="15" t="s">
        <v>223</v>
      </c>
      <c r="E11" s="16"/>
      <c r="F11" s="15" t="s">
        <v>376</v>
      </c>
      <c r="G11" s="16">
        <v>42737</v>
      </c>
      <c r="H11" s="15"/>
      <c r="I11" s="15"/>
      <c r="J11" t="s">
        <v>477</v>
      </c>
      <c r="K11" s="98"/>
      <c r="L11" s="419" t="s">
        <v>371</v>
      </c>
      <c r="M11" s="98"/>
      <c r="P11" s="65">
        <v>31</v>
      </c>
      <c r="Q11" s="65">
        <v>31</v>
      </c>
      <c r="R11" s="75">
        <f t="shared" si="0"/>
        <v>1</v>
      </c>
      <c r="S11" s="76" t="s">
        <v>99</v>
      </c>
      <c r="T11" t="e">
        <f>IF(L11&lt;&gt;"",VLOOKUP(L11,Locataires!#REF!,4,0),"")</f>
        <v>#REF!</v>
      </c>
      <c r="U11" s="76" t="e">
        <f>IF(L11&lt;&gt;"",VLOOKUP(L11,Locataires!#REF!,5,0),"?")</f>
        <v>#REF!</v>
      </c>
      <c r="V11" s="417" t="s">
        <v>116</v>
      </c>
      <c r="X11" s="388">
        <v>2016</v>
      </c>
    </row>
    <row r="12" spans="1:24" ht="12" customHeight="1">
      <c r="A12" s="187" t="s">
        <v>137</v>
      </c>
      <c r="B12" t="s">
        <v>310</v>
      </c>
      <c r="C12" t="s">
        <v>321</v>
      </c>
      <c r="D12" s="15" t="s">
        <v>223</v>
      </c>
      <c r="E12" s="16"/>
      <c r="F12" s="15" t="s">
        <v>377</v>
      </c>
      <c r="G12" s="16">
        <v>42737</v>
      </c>
      <c r="H12" s="15"/>
      <c r="I12" s="15"/>
      <c r="J12" t="s">
        <v>478</v>
      </c>
      <c r="K12" s="98"/>
      <c r="L12" s="419" t="s">
        <v>371</v>
      </c>
      <c r="M12" s="98"/>
      <c r="P12" s="65">
        <v>30</v>
      </c>
      <c r="Q12" s="65">
        <v>30</v>
      </c>
      <c r="R12" s="75">
        <f t="shared" si="0"/>
        <v>1</v>
      </c>
      <c r="S12" s="76" t="s">
        <v>99</v>
      </c>
      <c r="T12" t="e">
        <f>IF(L12&lt;&gt;"",VLOOKUP(L12,Locataires!#REF!,4,0),"")</f>
        <v>#REF!</v>
      </c>
      <c r="U12" s="76" t="e">
        <f>IF(L12&lt;&gt;"",VLOOKUP(L12,Locataires!#REF!,5,0),"?")</f>
        <v>#REF!</v>
      </c>
      <c r="V12" s="417" t="s">
        <v>116</v>
      </c>
      <c r="X12" s="388">
        <v>2016</v>
      </c>
    </row>
    <row r="13" spans="1:24" ht="12" customHeight="1">
      <c r="A13" s="187" t="s">
        <v>138</v>
      </c>
      <c r="B13" t="s">
        <v>311</v>
      </c>
      <c r="C13" t="s">
        <v>322</v>
      </c>
      <c r="D13" s="15" t="s">
        <v>223</v>
      </c>
      <c r="E13" s="16"/>
      <c r="F13" s="15" t="s">
        <v>378</v>
      </c>
      <c r="G13" s="16">
        <v>42737</v>
      </c>
      <c r="H13" s="15"/>
      <c r="I13" s="15"/>
      <c r="J13" t="s">
        <v>479</v>
      </c>
      <c r="K13" s="98"/>
      <c r="L13" s="419" t="s">
        <v>371</v>
      </c>
      <c r="M13" s="98"/>
      <c r="P13" s="65">
        <v>31</v>
      </c>
      <c r="Q13" s="65">
        <v>31</v>
      </c>
      <c r="R13" s="75">
        <f t="shared" si="0"/>
        <v>1</v>
      </c>
      <c r="S13" s="76" t="s">
        <v>99</v>
      </c>
      <c r="T13" t="e">
        <f>IF(L13&lt;&gt;"",VLOOKUP(L13,Locataires!#REF!,4,0),"")</f>
        <v>#REF!</v>
      </c>
      <c r="U13" s="76" t="e">
        <f>IF(L13&lt;&gt;"",VLOOKUP(L13,Locataires!#REF!,5,0),"?")</f>
        <v>#REF!</v>
      </c>
      <c r="V13" s="417" t="s">
        <v>116</v>
      </c>
      <c r="X13" s="388">
        <v>2016</v>
      </c>
    </row>
    <row r="14" spans="1:24" ht="12" customHeight="1">
      <c r="A14" s="187" t="s">
        <v>139</v>
      </c>
      <c r="B14" t="s">
        <v>312</v>
      </c>
      <c r="C14" t="s">
        <v>323</v>
      </c>
      <c r="D14" s="15" t="s">
        <v>223</v>
      </c>
      <c r="E14" s="16"/>
      <c r="F14" s="15" t="s">
        <v>379</v>
      </c>
      <c r="G14" s="16">
        <v>42737</v>
      </c>
      <c r="H14" s="15"/>
      <c r="I14" s="15"/>
      <c r="J14" t="s">
        <v>480</v>
      </c>
      <c r="K14" s="98"/>
      <c r="L14" s="419" t="s">
        <v>371</v>
      </c>
      <c r="M14" s="98"/>
      <c r="P14" s="65">
        <v>31</v>
      </c>
      <c r="Q14" s="65">
        <v>31</v>
      </c>
      <c r="R14" s="75">
        <f t="shared" si="0"/>
        <v>1</v>
      </c>
      <c r="S14" s="76" t="s">
        <v>99</v>
      </c>
      <c r="T14" t="e">
        <f>IF(L14&lt;&gt;"",VLOOKUP(L14,Locataires!#REF!,4,0),"")</f>
        <v>#REF!</v>
      </c>
      <c r="U14" s="76" t="e">
        <f>IF(L14&lt;&gt;"",VLOOKUP(L14,Locataires!#REF!,5,0),"?")</f>
        <v>#REF!</v>
      </c>
      <c r="V14" s="417" t="s">
        <v>116</v>
      </c>
      <c r="X14" s="388">
        <v>2016</v>
      </c>
    </row>
    <row r="15" spans="1:24" ht="12" customHeight="1">
      <c r="A15" s="187" t="s">
        <v>140</v>
      </c>
      <c r="B15" t="s">
        <v>313</v>
      </c>
      <c r="C15" t="s">
        <v>324</v>
      </c>
      <c r="D15" s="15" t="s">
        <v>223</v>
      </c>
      <c r="E15" s="16"/>
      <c r="F15" s="15" t="s">
        <v>380</v>
      </c>
      <c r="G15" s="16">
        <v>42737</v>
      </c>
      <c r="H15" s="15"/>
      <c r="I15" s="15"/>
      <c r="J15" t="s">
        <v>481</v>
      </c>
      <c r="K15" s="98"/>
      <c r="L15" s="419" t="s">
        <v>371</v>
      </c>
      <c r="M15" s="98"/>
      <c r="P15" s="65">
        <v>30</v>
      </c>
      <c r="Q15" s="65">
        <v>30</v>
      </c>
      <c r="R15" s="75">
        <f t="shared" si="0"/>
        <v>1</v>
      </c>
      <c r="S15" s="76" t="s">
        <v>99</v>
      </c>
      <c r="T15" t="e">
        <f>IF(L15&lt;&gt;"",VLOOKUP(L15,Locataires!#REF!,4,0),"")</f>
        <v>#REF!</v>
      </c>
      <c r="U15" s="76" t="e">
        <f>IF(L15&lt;&gt;"",VLOOKUP(L15,Locataires!#REF!,5,0),"?")</f>
        <v>#REF!</v>
      </c>
      <c r="V15" s="417" t="s">
        <v>116</v>
      </c>
      <c r="X15" s="388">
        <v>2016</v>
      </c>
    </row>
    <row r="16" spans="1:24" ht="12" customHeight="1">
      <c r="A16" s="187" t="s">
        <v>141</v>
      </c>
      <c r="B16" t="s">
        <v>314</v>
      </c>
      <c r="C16" t="s">
        <v>325</v>
      </c>
      <c r="D16" s="15" t="s">
        <v>223</v>
      </c>
      <c r="E16" s="16"/>
      <c r="F16" s="15" t="s">
        <v>381</v>
      </c>
      <c r="G16" s="16">
        <v>42738</v>
      </c>
      <c r="H16" s="15"/>
      <c r="I16" s="15"/>
      <c r="J16" t="s">
        <v>482</v>
      </c>
      <c r="K16" s="98"/>
      <c r="L16" s="419" t="s">
        <v>371</v>
      </c>
      <c r="M16" s="98"/>
      <c r="P16" s="65">
        <v>31</v>
      </c>
      <c r="Q16" s="65">
        <v>31</v>
      </c>
      <c r="R16" s="75">
        <f t="shared" si="0"/>
        <v>1</v>
      </c>
      <c r="S16" s="76" t="s">
        <v>99</v>
      </c>
      <c r="T16" t="e">
        <f>IF(L16&lt;&gt;"",VLOOKUP(L16,Locataires!#REF!,4,0),"")</f>
        <v>#REF!</v>
      </c>
      <c r="U16" s="76" t="e">
        <f>IF(L16&lt;&gt;"",VLOOKUP(L16,Locataires!#REF!,5,0),"?")</f>
        <v>#REF!</v>
      </c>
      <c r="V16" s="417" t="s">
        <v>116</v>
      </c>
      <c r="X16" s="388">
        <v>2016</v>
      </c>
    </row>
    <row r="17" spans="1:24" ht="12" customHeight="1">
      <c r="A17" s="188" t="s">
        <v>135</v>
      </c>
      <c r="B17" s="422" t="s">
        <v>315</v>
      </c>
      <c r="C17" s="422" t="s">
        <v>326</v>
      </c>
      <c r="D17" s="126" t="s">
        <v>223</v>
      </c>
      <c r="E17" s="127"/>
      <c r="F17" s="126" t="s">
        <v>382</v>
      </c>
      <c r="G17" s="16">
        <v>42737</v>
      </c>
      <c r="H17" s="126"/>
      <c r="I17" s="126"/>
      <c r="J17" t="s">
        <v>483</v>
      </c>
      <c r="K17" s="128"/>
      <c r="L17" s="419" t="s">
        <v>371</v>
      </c>
      <c r="M17" s="422"/>
      <c r="N17" s="422"/>
      <c r="O17" s="422"/>
      <c r="P17" s="130">
        <v>30</v>
      </c>
      <c r="Q17" s="130">
        <v>30</v>
      </c>
      <c r="R17" s="131">
        <f t="shared" si="0"/>
        <v>1</v>
      </c>
      <c r="S17" s="76" t="s">
        <v>99</v>
      </c>
      <c r="T17" t="e">
        <f>IF(L17&lt;&gt;"",VLOOKUP(L17,Locataires!#REF!,4,0),"")</f>
        <v>#REF!</v>
      </c>
      <c r="U17" s="76" t="e">
        <f>IF(L17&lt;&gt;"",VLOOKUP(L17,Locataires!#REF!,5,0),"?")</f>
        <v>#REF!</v>
      </c>
      <c r="V17" s="417" t="s">
        <v>116</v>
      </c>
      <c r="X17" s="388">
        <v>2016</v>
      </c>
    </row>
    <row r="18" spans="1:24" ht="12" customHeight="1">
      <c r="A18" s="188" t="s">
        <v>142</v>
      </c>
      <c r="B18" s="422" t="s">
        <v>316</v>
      </c>
      <c r="C18" s="422" t="s">
        <v>329</v>
      </c>
      <c r="D18" s="126" t="s">
        <v>223</v>
      </c>
      <c r="E18" s="127"/>
      <c r="F18" s="126" t="s">
        <v>382</v>
      </c>
      <c r="G18" s="16">
        <v>42737</v>
      </c>
      <c r="H18" s="126"/>
      <c r="I18" s="126"/>
      <c r="J18" t="s">
        <v>484</v>
      </c>
      <c r="K18" s="128"/>
      <c r="L18" s="419" t="s">
        <v>371</v>
      </c>
      <c r="M18" s="128"/>
      <c r="N18" s="422"/>
      <c r="O18" s="422"/>
      <c r="P18" s="130">
        <v>31</v>
      </c>
      <c r="Q18" s="130">
        <v>31</v>
      </c>
      <c r="R18" s="131">
        <f t="shared" si="0"/>
        <v>1</v>
      </c>
      <c r="S18" s="76" t="s">
        <v>99</v>
      </c>
      <c r="T18" t="e">
        <f>IF(L18&lt;&gt;"",VLOOKUP(L18,Locataires!#REF!,4,0),"")</f>
        <v>#REF!</v>
      </c>
      <c r="U18" s="76" t="e">
        <f>IF(L18&lt;&gt;"",VLOOKUP(L18,Locataires!#REF!,5,0),"?")</f>
        <v>#REF!</v>
      </c>
      <c r="V18" s="417" t="s">
        <v>116</v>
      </c>
      <c r="X18" s="388">
        <v>2016</v>
      </c>
    </row>
    <row r="19" spans="1:24" ht="12" customHeight="1">
      <c r="A19" s="187" t="s">
        <v>131</v>
      </c>
      <c r="B19" t="s">
        <v>304</v>
      </c>
      <c r="C19" t="s">
        <v>330</v>
      </c>
      <c r="D19" s="15" t="s">
        <v>223</v>
      </c>
      <c r="E19" s="16"/>
      <c r="F19" s="126">
        <v>850</v>
      </c>
      <c r="G19" s="16">
        <v>42738</v>
      </c>
      <c r="H19" s="15"/>
      <c r="I19" s="15"/>
      <c r="J19" t="s">
        <v>339</v>
      </c>
      <c r="K19" s="98"/>
      <c r="L19" t="s">
        <v>130</v>
      </c>
      <c r="M19" s="98"/>
      <c r="P19" s="65">
        <v>31</v>
      </c>
      <c r="Q19" s="65">
        <v>31</v>
      </c>
      <c r="R19" s="75">
        <f>P19/Q19</f>
        <v>1</v>
      </c>
      <c r="S19" s="76" t="s">
        <v>99</v>
      </c>
      <c r="T19" t="e">
        <f>IF(L18&lt;&gt;"",VLOOKUP(L19,Locataires!C11:L13,4,0),"pas de Locataire")</f>
        <v>#N/A</v>
      </c>
      <c r="U19" s="76" t="e">
        <f>IF(L19&lt;&gt;"",VLOOKUP(L19,Locataires!C11:L13,5,0),"?")</f>
        <v>#N/A</v>
      </c>
      <c r="V19" s="142">
        <v>42739</v>
      </c>
      <c r="W19" s="142">
        <v>42739</v>
      </c>
      <c r="X19">
        <v>2017</v>
      </c>
    </row>
    <row r="20" spans="1:24" ht="12" customHeight="1">
      <c r="A20" s="187" t="s">
        <v>147</v>
      </c>
      <c r="B20" t="s">
        <v>304</v>
      </c>
      <c r="C20" t="s">
        <v>330</v>
      </c>
      <c r="D20" s="15" t="s">
        <v>223</v>
      </c>
      <c r="E20" s="16"/>
      <c r="F20" s="126">
        <v>850</v>
      </c>
      <c r="G20" s="16">
        <v>42737</v>
      </c>
      <c r="H20" s="15"/>
      <c r="I20" s="15"/>
      <c r="J20" t="s">
        <v>339</v>
      </c>
      <c r="K20" s="98"/>
      <c r="L20" t="s">
        <v>130</v>
      </c>
      <c r="M20" s="98"/>
      <c r="P20" s="65">
        <v>28</v>
      </c>
      <c r="Q20" s="65">
        <v>28</v>
      </c>
      <c r="R20" s="75">
        <f t="shared" ref="R20:R30" si="1">P20/Q20</f>
        <v>1</v>
      </c>
      <c r="S20" s="76" t="s">
        <v>99</v>
      </c>
      <c r="T20" t="e">
        <f>IF(L20&lt;&gt;"",VLOOKUP(L20,Locataires!C11:L13,4,0),"")</f>
        <v>#N/A</v>
      </c>
      <c r="U20" s="76" t="e">
        <f>IF(L20&lt;&gt;"",VLOOKUP(L20,Locataires!C11:L13,5,0),"?")</f>
        <v>#N/A</v>
      </c>
      <c r="V20" s="198">
        <v>42768.714479166665</v>
      </c>
      <c r="X20">
        <v>2017</v>
      </c>
    </row>
    <row r="21" spans="1:24" ht="12" customHeight="1">
      <c r="A21" s="187" t="s">
        <v>134</v>
      </c>
      <c r="B21" t="s">
        <v>304</v>
      </c>
      <c r="C21" t="s">
        <v>330</v>
      </c>
      <c r="D21" s="15" t="s">
        <v>223</v>
      </c>
      <c r="E21" s="16"/>
      <c r="F21" s="126">
        <v>850</v>
      </c>
      <c r="G21" s="16">
        <v>42796</v>
      </c>
      <c r="H21" s="15"/>
      <c r="I21" s="15"/>
      <c r="J21" t="s">
        <v>339</v>
      </c>
      <c r="K21" s="98">
        <v>42797</v>
      </c>
      <c r="L21" t="s">
        <v>130</v>
      </c>
      <c r="M21" s="98"/>
      <c r="P21" s="65">
        <v>31</v>
      </c>
      <c r="Q21" s="65">
        <v>31</v>
      </c>
      <c r="R21" s="75">
        <f t="shared" si="1"/>
        <v>1</v>
      </c>
      <c r="S21" s="76" t="s">
        <v>99</v>
      </c>
      <c r="T21" t="e">
        <f>IF(L21&lt;&gt;"",VLOOKUP(L21,Locataires!C12:L13,4,0),"")</f>
        <v>#N/A</v>
      </c>
      <c r="U21" s="76" t="e">
        <f>IF(L21&lt;&gt;"",VLOOKUP(L21,Locataires!C12:L13,5,0),"?")</f>
        <v>#N/A</v>
      </c>
      <c r="V21" s="417" t="s">
        <v>116</v>
      </c>
      <c r="X21">
        <v>2017</v>
      </c>
    </row>
    <row r="22" spans="1:24" ht="12" customHeight="1">
      <c r="A22" s="187" t="s">
        <v>132</v>
      </c>
      <c r="B22" t="s">
        <v>304</v>
      </c>
      <c r="C22" t="s">
        <v>330</v>
      </c>
      <c r="D22" s="15" t="s">
        <v>223</v>
      </c>
      <c r="E22" s="16"/>
      <c r="F22" s="126">
        <v>850</v>
      </c>
      <c r="G22" s="16">
        <v>42829</v>
      </c>
      <c r="H22" s="15"/>
      <c r="I22" s="15"/>
      <c r="J22" t="s">
        <v>339</v>
      </c>
      <c r="K22" s="98">
        <v>42829</v>
      </c>
      <c r="L22" t="s">
        <v>130</v>
      </c>
      <c r="M22" s="98"/>
      <c r="P22" s="65">
        <v>30</v>
      </c>
      <c r="Q22" s="65">
        <v>30</v>
      </c>
      <c r="R22" s="75">
        <f t="shared" si="1"/>
        <v>1</v>
      </c>
      <c r="S22" s="76" t="s">
        <v>99</v>
      </c>
      <c r="T22" t="e">
        <f>IF(L22&lt;&gt;"",VLOOKUP(L22,Locataires!C13:L13,4,0),"")</f>
        <v>#N/A</v>
      </c>
      <c r="U22" s="76" t="e">
        <f>IF(L22&lt;&gt;"",VLOOKUP(L22,Locataires!C13:L13,5,0),"?")</f>
        <v>#N/A</v>
      </c>
      <c r="V22" s="417" t="s">
        <v>116</v>
      </c>
      <c r="X22">
        <v>2017</v>
      </c>
    </row>
    <row r="23" spans="1:24" ht="12" customHeight="1">
      <c r="A23" s="187" t="s">
        <v>136</v>
      </c>
      <c r="B23" t="s">
        <v>304</v>
      </c>
      <c r="C23" t="s">
        <v>330</v>
      </c>
      <c r="D23" s="15" t="s">
        <v>223</v>
      </c>
      <c r="E23" s="16"/>
      <c r="F23" s="126">
        <v>850</v>
      </c>
      <c r="G23" s="16">
        <v>42858</v>
      </c>
      <c r="H23" s="15"/>
      <c r="I23" s="15"/>
      <c r="J23" t="s">
        <v>339</v>
      </c>
      <c r="K23" s="98">
        <v>42859</v>
      </c>
      <c r="L23" t="s">
        <v>130</v>
      </c>
      <c r="M23" s="98"/>
      <c r="P23" s="65">
        <v>31</v>
      </c>
      <c r="Q23" s="65">
        <v>31</v>
      </c>
      <c r="R23" s="75">
        <f t="shared" si="1"/>
        <v>1</v>
      </c>
      <c r="S23" s="76" t="s">
        <v>99</v>
      </c>
      <c r="T23" t="e">
        <f>IF(L23&lt;&gt;"",VLOOKUP(L23,Locataires!#REF!,4,0),"")</f>
        <v>#REF!</v>
      </c>
      <c r="U23" s="76" t="e">
        <f>IF(L23&lt;&gt;"",VLOOKUP(L23,Locataires!#REF!,5,0),"?")</f>
        <v>#REF!</v>
      </c>
      <c r="V23" s="417" t="s">
        <v>116</v>
      </c>
      <c r="X23">
        <v>2017</v>
      </c>
    </row>
    <row r="24" spans="1:24" ht="12" customHeight="1">
      <c r="A24" s="187" t="s">
        <v>137</v>
      </c>
      <c r="B24" t="s">
        <v>304</v>
      </c>
      <c r="C24" t="s">
        <v>330</v>
      </c>
      <c r="D24" s="15" t="s">
        <v>223</v>
      </c>
      <c r="E24" s="16"/>
      <c r="F24" s="126">
        <v>850</v>
      </c>
      <c r="G24" s="16">
        <v>42888</v>
      </c>
      <c r="H24" s="15"/>
      <c r="I24" s="15"/>
      <c r="J24" t="s">
        <v>339</v>
      </c>
      <c r="K24" s="98">
        <v>42892</v>
      </c>
      <c r="L24" t="s">
        <v>130</v>
      </c>
      <c r="M24" s="98"/>
      <c r="P24" s="65">
        <v>30</v>
      </c>
      <c r="Q24" s="65">
        <v>30</v>
      </c>
      <c r="R24" s="75">
        <f t="shared" si="1"/>
        <v>1</v>
      </c>
      <c r="S24" s="76" t="s">
        <v>99</v>
      </c>
      <c r="T24" t="e">
        <f>IF(L24&lt;&gt;"",VLOOKUP(L24,Locataires!#REF!,4,0),"")</f>
        <v>#REF!</v>
      </c>
      <c r="U24" s="76" t="e">
        <f>IF(L24&lt;&gt;"",VLOOKUP(L24,Locataires!#REF!,5,0),"?")</f>
        <v>#REF!</v>
      </c>
      <c r="V24" s="417" t="s">
        <v>116</v>
      </c>
      <c r="X24">
        <v>2017</v>
      </c>
    </row>
    <row r="25" spans="1:24" ht="12" customHeight="1">
      <c r="A25" s="187" t="s">
        <v>138</v>
      </c>
      <c r="B25" t="s">
        <v>304</v>
      </c>
      <c r="C25" t="s">
        <v>330</v>
      </c>
      <c r="D25" s="15" t="s">
        <v>223</v>
      </c>
      <c r="E25" s="16"/>
      <c r="F25" s="15">
        <v>475</v>
      </c>
      <c r="G25" s="16">
        <v>42917</v>
      </c>
      <c r="H25" s="15"/>
      <c r="I25" s="15"/>
      <c r="J25" t="s">
        <v>345</v>
      </c>
      <c r="K25" s="98"/>
      <c r="L25" s="419"/>
      <c r="M25" s="98"/>
      <c r="P25" s="65">
        <v>31</v>
      </c>
      <c r="Q25" s="65">
        <v>31</v>
      </c>
      <c r="R25" s="75">
        <f t="shared" si="1"/>
        <v>1</v>
      </c>
      <c r="S25" s="76" t="s">
        <v>99</v>
      </c>
      <c r="T25" t="str">
        <f>IF(L25&lt;&gt;"",VLOOKUP(L25,Locataires!#REF!,4,0),"")</f>
        <v/>
      </c>
      <c r="U25" s="76" t="str">
        <f>IF(L25&lt;&gt;"",VLOOKUP(L25,Locataires!#REF!,5,0),"?")</f>
        <v>?</v>
      </c>
      <c r="V25" s="417" t="s">
        <v>116</v>
      </c>
      <c r="X25">
        <v>2017</v>
      </c>
    </row>
    <row r="26" spans="1:24" ht="12" customHeight="1">
      <c r="A26" s="187" t="s">
        <v>139</v>
      </c>
      <c r="B26" t="s">
        <v>304</v>
      </c>
      <c r="C26" t="s">
        <v>330</v>
      </c>
      <c r="D26" s="15" t="s">
        <v>223</v>
      </c>
      <c r="E26" s="16"/>
      <c r="F26" s="15" t="s">
        <v>339</v>
      </c>
      <c r="G26" s="16"/>
      <c r="H26" s="15"/>
      <c r="I26" s="15"/>
      <c r="J26" t="s">
        <v>345</v>
      </c>
      <c r="K26" s="98"/>
      <c r="L26" s="419"/>
      <c r="M26" s="98"/>
      <c r="P26" s="65">
        <v>31</v>
      </c>
      <c r="Q26" s="65">
        <v>31</v>
      </c>
      <c r="R26" s="75">
        <f t="shared" si="1"/>
        <v>1</v>
      </c>
      <c r="S26" s="76" t="s">
        <v>99</v>
      </c>
      <c r="T26" t="str">
        <f>IF(L26&lt;&gt;"",VLOOKUP(L26,Locataires!#REF!,4,0),"")</f>
        <v/>
      </c>
      <c r="U26" s="76" t="str">
        <f>IF(L26&lt;&gt;"",VLOOKUP(L26,Locataires!#REF!,5,0),"?")</f>
        <v>?</v>
      </c>
      <c r="V26" s="417" t="s">
        <v>116</v>
      </c>
      <c r="X26">
        <v>2017</v>
      </c>
    </row>
    <row r="27" spans="1:24" ht="12" customHeight="1">
      <c r="A27" s="187" t="s">
        <v>140</v>
      </c>
      <c r="B27" t="s">
        <v>304</v>
      </c>
      <c r="C27" t="s">
        <v>330</v>
      </c>
      <c r="D27" s="15" t="s">
        <v>223</v>
      </c>
      <c r="E27" s="16"/>
      <c r="F27" s="15" t="s">
        <v>339</v>
      </c>
      <c r="G27" s="16"/>
      <c r="H27" s="15"/>
      <c r="I27" s="15"/>
      <c r="J27" t="s">
        <v>345</v>
      </c>
      <c r="K27" s="98"/>
      <c r="L27" s="419"/>
      <c r="M27" s="98"/>
      <c r="P27" s="65">
        <v>30</v>
      </c>
      <c r="Q27" s="65">
        <v>30</v>
      </c>
      <c r="R27" s="75">
        <f t="shared" si="1"/>
        <v>1</v>
      </c>
      <c r="S27" s="76" t="s">
        <v>99</v>
      </c>
      <c r="T27" t="str">
        <f>IF(L27&lt;&gt;"",VLOOKUP(L27,Locataires!#REF!,4,0),"")</f>
        <v/>
      </c>
      <c r="U27" s="76" t="str">
        <f>IF(L27&lt;&gt;"",VLOOKUP(L27,Locataires!#REF!,5,0),"?")</f>
        <v>?</v>
      </c>
      <c r="V27" s="417" t="s">
        <v>116</v>
      </c>
      <c r="X27">
        <v>2017</v>
      </c>
    </row>
    <row r="28" spans="1:24" ht="12" customHeight="1">
      <c r="A28" s="187" t="s">
        <v>141</v>
      </c>
      <c r="B28" t="s">
        <v>304</v>
      </c>
      <c r="C28" t="s">
        <v>330</v>
      </c>
      <c r="D28" s="15" t="s">
        <v>223</v>
      </c>
      <c r="E28" s="16"/>
      <c r="F28" s="15" t="s">
        <v>339</v>
      </c>
      <c r="G28" s="16"/>
      <c r="H28" s="15"/>
      <c r="I28" s="15"/>
      <c r="J28" t="s">
        <v>345</v>
      </c>
      <c r="K28" s="98"/>
      <c r="L28" s="419"/>
      <c r="M28" s="98"/>
      <c r="P28" s="65">
        <v>31</v>
      </c>
      <c r="Q28" s="65">
        <v>31</v>
      </c>
      <c r="R28" s="75">
        <f t="shared" si="1"/>
        <v>1</v>
      </c>
      <c r="S28" s="76" t="s">
        <v>99</v>
      </c>
      <c r="T28" t="str">
        <f>IF(L28&lt;&gt;"",VLOOKUP(L28,Locataires!#REF!,4,0),"")</f>
        <v/>
      </c>
      <c r="U28" s="76" t="str">
        <f>IF(L28&lt;&gt;"",VLOOKUP(L28,Locataires!#REF!,5,0),"?")</f>
        <v>?</v>
      </c>
      <c r="V28" s="417" t="s">
        <v>116</v>
      </c>
      <c r="X28">
        <v>2017</v>
      </c>
    </row>
    <row r="29" spans="1:24" ht="12" customHeight="1">
      <c r="A29" s="188" t="s">
        <v>135</v>
      </c>
      <c r="B29" s="422" t="s">
        <v>304</v>
      </c>
      <c r="C29" s="422" t="s">
        <v>330</v>
      </c>
      <c r="D29" s="126" t="s">
        <v>223</v>
      </c>
      <c r="E29" s="127"/>
      <c r="F29" s="126" t="s">
        <v>339</v>
      </c>
      <c r="G29" s="16"/>
      <c r="H29" s="126"/>
      <c r="I29" s="126"/>
      <c r="J29" t="s">
        <v>345</v>
      </c>
      <c r="K29" s="128"/>
      <c r="L29" s="145"/>
      <c r="M29" s="422"/>
      <c r="N29" s="422"/>
      <c r="O29" s="422"/>
      <c r="P29" s="130">
        <v>30</v>
      </c>
      <c r="Q29" s="130">
        <v>30</v>
      </c>
      <c r="R29" s="131">
        <f t="shared" si="1"/>
        <v>1</v>
      </c>
      <c r="S29" s="76" t="s">
        <v>99</v>
      </c>
      <c r="T29" t="str">
        <f>IF(L29&lt;&gt;"",VLOOKUP(L29,Locataires!#REF!,4,0),"")</f>
        <v/>
      </c>
      <c r="U29" s="76" t="str">
        <f>IF(L29&lt;&gt;"",VLOOKUP(L29,Locataires!#REF!,5,0),"?")</f>
        <v>?</v>
      </c>
      <c r="V29" s="417" t="s">
        <v>116</v>
      </c>
      <c r="X29">
        <v>2017</v>
      </c>
    </row>
    <row r="30" spans="1:24" ht="12" customHeight="1">
      <c r="A30" s="188" t="s">
        <v>142</v>
      </c>
      <c r="B30" s="422" t="s">
        <v>304</v>
      </c>
      <c r="C30" s="422" t="s">
        <v>330</v>
      </c>
      <c r="D30" s="126" t="s">
        <v>223</v>
      </c>
      <c r="E30" s="127"/>
      <c r="F30" s="126" t="s">
        <v>339</v>
      </c>
      <c r="G30" s="16"/>
      <c r="H30" s="126"/>
      <c r="I30" s="126"/>
      <c r="J30" t="s">
        <v>345</v>
      </c>
      <c r="K30" s="128"/>
      <c r="L30" s="423"/>
      <c r="M30" s="128"/>
      <c r="N30" s="422"/>
      <c r="O30" s="422"/>
      <c r="P30" s="130">
        <v>31</v>
      </c>
      <c r="Q30" s="130">
        <v>31</v>
      </c>
      <c r="R30" s="131">
        <f t="shared" si="1"/>
        <v>1</v>
      </c>
      <c r="S30" s="76" t="s">
        <v>99</v>
      </c>
      <c r="T30" t="str">
        <f>IF(L30&lt;&gt;"",VLOOKUP(L30,Locataires!#REF!,4,0),"")</f>
        <v/>
      </c>
      <c r="U30" s="76" t="str">
        <f>IF(L30&lt;&gt;"",VLOOKUP(L30,Locataires!#REF!,5,0),"?")</f>
        <v>?</v>
      </c>
      <c r="V30" s="417" t="s">
        <v>116</v>
      </c>
      <c r="X30">
        <v>2017</v>
      </c>
    </row>
  </sheetData>
  <sheetProtection selectLockedCells="1" selectUnlockedCells="1"/>
  <mergeCells count="11">
    <mergeCell ref="B5:C5"/>
    <mergeCell ref="D5:E5"/>
    <mergeCell ref="F5:G5"/>
    <mergeCell ref="H5:I5"/>
    <mergeCell ref="P5:R5"/>
    <mergeCell ref="C2:D2"/>
    <mergeCell ref="E2:G2"/>
    <mergeCell ref="H2:I2"/>
    <mergeCell ref="C3:E3"/>
    <mergeCell ref="F3:G3"/>
    <mergeCell ref="H3:I3"/>
  </mergeCells>
  <conditionalFormatting sqref="H7:I18">
    <cfRule type="cellIs" dxfId="7" priority="2" stopIfTrue="1" operator="greaterThan">
      <formula>0</formula>
    </cfRule>
  </conditionalFormatting>
  <conditionalFormatting sqref="H19:I30">
    <cfRule type="cellIs" dxfId="6" priority="1" stopIfTrue="1" operator="greaterThan">
      <formula>0</formula>
    </cfRule>
  </conditionalFormatting>
  <dataValidations count="1">
    <dataValidation type="list" allowBlank="1" showInputMessage="1" showErrorMessage="1" sqref="S7:S30">
      <formula1>Oui_Non</formula1>
    </dataValidation>
  </dataValidations>
  <pageMargins left="0.7" right="0.7" top="0.75" bottom="0.75" header="0.51180555555555551" footer="0.51180555555555551"/>
  <pageSetup paperSize="9" firstPageNumber="0" orientation="portrait" horizontalDpi="300" verticalDpi="300"/>
  <headerFooter alignWithMargins="0"/>
</worksheet>
</file>

<file path=xl/worksheets/sheet4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2"/>
  <dimension ref="A1:X42"/>
  <sheetViews>
    <sheetView workbookViewId="0">
      <selection activeCell="G25" sqref="G25"/>
    </sheetView>
  </sheetViews>
  <sheetFormatPr baseColWidth="10" defaultRowHeight="12.75"/>
  <cols>
    <col min="1" max="1" width="12.28515625" customWidth="1"/>
    <col min="4" max="4" width="10.5703125" customWidth="1"/>
    <col min="5" max="6" width="9.5703125" customWidth="1"/>
    <col min="7" max="8" width="10.5703125" customWidth="1"/>
    <col min="10" max="10" width="14.28515625" customWidth="1"/>
    <col min="11" max="11" width="25.42578125" customWidth="1"/>
    <col min="13" max="13" width="23.28515625" customWidth="1"/>
    <col min="14" max="14" width="8.5703125" customWidth="1"/>
    <col min="15" max="15" width="3.5703125" customWidth="1"/>
    <col min="16" max="16" width="3.85546875" customWidth="1"/>
    <col min="17" max="17" width="5.140625" customWidth="1"/>
    <col min="18" max="20" width="8.140625" customWidth="1"/>
  </cols>
  <sheetData>
    <row r="1" spans="1:24">
      <c r="A1" s="1" t="s">
        <v>46</v>
      </c>
    </row>
    <row r="2" spans="1:24" ht="15">
      <c r="B2" s="2" t="s">
        <v>0</v>
      </c>
      <c r="C2" s="781" t="s">
        <v>1</v>
      </c>
      <c r="D2" s="781"/>
      <c r="E2" s="781" t="s">
        <v>2</v>
      </c>
      <c r="F2" s="781"/>
      <c r="G2" s="781"/>
      <c r="H2" s="420"/>
      <c r="I2" s="782" t="s">
        <v>3</v>
      </c>
      <c r="J2" s="782"/>
      <c r="K2" s="3" t="s">
        <v>4</v>
      </c>
    </row>
    <row r="3" spans="1:24" ht="22.5">
      <c r="B3" s="2" t="s">
        <v>5</v>
      </c>
      <c r="C3" s="783" t="s">
        <v>42</v>
      </c>
      <c r="D3" s="783"/>
      <c r="E3" s="783"/>
      <c r="F3" s="784" t="s">
        <v>7</v>
      </c>
      <c r="G3" s="784"/>
      <c r="H3" s="421"/>
      <c r="I3" s="785" t="s">
        <v>8</v>
      </c>
      <c r="J3" s="785"/>
      <c r="K3" s="4"/>
      <c r="N3" s="67" t="s">
        <v>52</v>
      </c>
      <c r="O3" s="418">
        <v>3</v>
      </c>
    </row>
    <row r="4" spans="1:24" ht="15">
      <c r="C4" s="5"/>
      <c r="D4" s="5"/>
      <c r="E4" s="5"/>
      <c r="F4" s="5"/>
      <c r="G4" s="5"/>
      <c r="H4" s="5"/>
      <c r="I4" s="6"/>
      <c r="J4" s="5"/>
      <c r="K4" s="7"/>
    </row>
    <row r="5" spans="1:24" s="418" customFormat="1" ht="56.25">
      <c r="A5" s="8"/>
      <c r="B5" s="787" t="s">
        <v>9</v>
      </c>
      <c r="C5" s="787"/>
      <c r="D5" s="788" t="s">
        <v>10</v>
      </c>
      <c r="E5" s="788"/>
      <c r="F5" s="789" t="s">
        <v>11</v>
      </c>
      <c r="G5" s="789"/>
      <c r="H5" s="790" t="s">
        <v>53</v>
      </c>
      <c r="I5" s="791"/>
      <c r="J5" s="9" t="s">
        <v>12</v>
      </c>
      <c r="K5" s="10" t="s">
        <v>13</v>
      </c>
      <c r="L5" s="8" t="s">
        <v>11</v>
      </c>
      <c r="M5" s="11" t="s">
        <v>14</v>
      </c>
      <c r="N5" s="11" t="s">
        <v>54</v>
      </c>
      <c r="O5" s="67" t="s">
        <v>52</v>
      </c>
      <c r="P5" s="672" t="s">
        <v>62</v>
      </c>
      <c r="Q5" s="672"/>
      <c r="R5" s="667"/>
      <c r="S5" s="77" t="s">
        <v>64</v>
      </c>
      <c r="T5" s="77" t="s">
        <v>64</v>
      </c>
      <c r="U5" s="77" t="s">
        <v>64</v>
      </c>
      <c r="X5" s="290" t="s">
        <v>70</v>
      </c>
    </row>
    <row r="6" spans="1:24">
      <c r="B6" s="13" t="s">
        <v>9</v>
      </c>
      <c r="C6" s="13" t="s">
        <v>15</v>
      </c>
      <c r="D6" s="13" t="s">
        <v>16</v>
      </c>
      <c r="E6" s="13" t="s">
        <v>17</v>
      </c>
      <c r="F6" s="13" t="s">
        <v>16</v>
      </c>
      <c r="G6" s="13" t="s">
        <v>17</v>
      </c>
      <c r="H6" s="13"/>
      <c r="I6" s="13"/>
      <c r="O6" s="418">
        <v>3</v>
      </c>
      <c r="R6" s="418" t="s">
        <v>63</v>
      </c>
    </row>
    <row r="7" spans="1:24">
      <c r="A7" s="187" t="s">
        <v>131</v>
      </c>
      <c r="B7" s="102">
        <v>400</v>
      </c>
      <c r="C7" s="102">
        <v>80</v>
      </c>
      <c r="D7" s="118" t="s">
        <v>341</v>
      </c>
      <c r="E7" s="119">
        <v>42740</v>
      </c>
      <c r="F7" s="118" t="s">
        <v>428</v>
      </c>
      <c r="G7" s="119">
        <v>42752</v>
      </c>
      <c r="H7" s="16"/>
      <c r="I7" s="16"/>
      <c r="J7" s="15" t="s">
        <v>339</v>
      </c>
      <c r="K7" s="120">
        <v>42738</v>
      </c>
      <c r="L7" s="121"/>
      <c r="M7" s="102"/>
      <c r="N7" s="102"/>
      <c r="P7" s="101">
        <v>31</v>
      </c>
      <c r="Q7" s="101">
        <v>31</v>
      </c>
      <c r="R7" s="122">
        <f>P7/Q7</f>
        <v>1</v>
      </c>
      <c r="S7" s="102"/>
      <c r="T7" s="102" t="str">
        <f>IF(L7&lt;&gt;"",VLOOKUP(L7,Locataires!#REF!,4,0),"pas de Locataire")</f>
        <v>pas de Locataire</v>
      </c>
      <c r="U7" s="102" t="s">
        <v>99</v>
      </c>
      <c r="V7" s="196">
        <v>42754</v>
      </c>
      <c r="X7" s="390">
        <v>2016</v>
      </c>
    </row>
    <row r="8" spans="1:24">
      <c r="A8" s="187" t="s">
        <v>147</v>
      </c>
      <c r="B8" s="102">
        <v>400</v>
      </c>
      <c r="C8" s="102">
        <v>81</v>
      </c>
      <c r="D8" s="118" t="s">
        <v>341</v>
      </c>
      <c r="E8" s="119">
        <v>42772</v>
      </c>
      <c r="F8" s="118" t="s">
        <v>428</v>
      </c>
      <c r="G8" s="119">
        <v>42773</v>
      </c>
      <c r="H8" s="16"/>
      <c r="I8" s="16"/>
      <c r="J8" s="15" t="s">
        <v>430</v>
      </c>
      <c r="K8" s="120">
        <v>42768</v>
      </c>
      <c r="L8" s="121"/>
      <c r="M8" s="102"/>
      <c r="N8" s="102"/>
      <c r="P8" s="101">
        <v>28</v>
      </c>
      <c r="Q8" s="101">
        <v>28</v>
      </c>
      <c r="R8" s="122">
        <f t="shared" ref="R8:R30" si="0">P8/Q8</f>
        <v>1</v>
      </c>
      <c r="S8" s="102"/>
      <c r="T8" s="102" t="str">
        <f>IF(L8&lt;&gt;"",VLOOKUP(L8,Locataires!#REF!,4,0),"pas de Locataire")</f>
        <v>pas de Locataire</v>
      </c>
      <c r="U8" s="102" t="s">
        <v>99</v>
      </c>
      <c r="V8" s="200">
        <v>42773.279247685183</v>
      </c>
      <c r="X8" s="390">
        <v>2016</v>
      </c>
    </row>
    <row r="9" spans="1:24">
      <c r="A9" s="187" t="s">
        <v>134</v>
      </c>
      <c r="B9" s="102">
        <v>400</v>
      </c>
      <c r="C9" s="102">
        <v>82</v>
      </c>
      <c r="D9" s="118" t="s">
        <v>341</v>
      </c>
      <c r="E9" s="119">
        <v>42800</v>
      </c>
      <c r="F9" s="118" t="s">
        <v>389</v>
      </c>
      <c r="G9" s="119">
        <v>42807</v>
      </c>
      <c r="H9" s="16"/>
      <c r="I9" s="16"/>
      <c r="J9" s="15" t="s">
        <v>447</v>
      </c>
      <c r="K9" s="120">
        <v>42814</v>
      </c>
      <c r="L9" s="121"/>
      <c r="M9" s="102"/>
      <c r="N9" s="101" t="s">
        <v>388</v>
      </c>
      <c r="P9" s="101">
        <v>31</v>
      </c>
      <c r="Q9" s="101">
        <v>31</v>
      </c>
      <c r="R9" s="122">
        <f t="shared" si="0"/>
        <v>1</v>
      </c>
      <c r="S9" s="102"/>
      <c r="T9" s="102" t="str">
        <f>IF(L9&lt;&gt;"",VLOOKUP(L9,Locataires!#REF!,4,0),"pas de Locataire")</f>
        <v>pas de Locataire</v>
      </c>
      <c r="U9" s="102"/>
      <c r="X9" s="390">
        <v>2016</v>
      </c>
    </row>
    <row r="10" spans="1:24">
      <c r="A10" s="187" t="s">
        <v>132</v>
      </c>
      <c r="B10" s="102">
        <v>400</v>
      </c>
      <c r="C10" s="102">
        <v>83</v>
      </c>
      <c r="D10" s="118" t="s">
        <v>427</v>
      </c>
      <c r="E10" s="119">
        <v>42830</v>
      </c>
      <c r="F10" s="118" t="s">
        <v>330</v>
      </c>
      <c r="G10" s="119">
        <v>42832</v>
      </c>
      <c r="H10" s="16"/>
      <c r="I10" s="16"/>
      <c r="J10" s="15" t="s">
        <v>476</v>
      </c>
      <c r="K10" s="120">
        <v>42835</v>
      </c>
      <c r="L10" s="121"/>
      <c r="M10" s="102"/>
      <c r="N10" s="102"/>
      <c r="P10" s="101">
        <v>30</v>
      </c>
      <c r="Q10" s="101">
        <v>30</v>
      </c>
      <c r="R10" s="122">
        <f t="shared" si="0"/>
        <v>1</v>
      </c>
      <c r="S10" s="102"/>
      <c r="T10" s="102" t="str">
        <f>IF(L10&lt;&gt;"",VLOOKUP(L10,Locataires!#REF!,4,0),"pas de Locataire")</f>
        <v>pas de Locataire</v>
      </c>
      <c r="U10" s="102"/>
      <c r="X10" s="390">
        <v>2016</v>
      </c>
    </row>
    <row r="11" spans="1:24">
      <c r="A11" s="187" t="s">
        <v>136</v>
      </c>
      <c r="B11" s="102">
        <v>400</v>
      </c>
      <c r="C11" s="102">
        <v>84</v>
      </c>
      <c r="D11" s="118" t="s">
        <v>427</v>
      </c>
      <c r="E11" s="119">
        <v>42860</v>
      </c>
      <c r="F11" s="118" t="s">
        <v>429</v>
      </c>
      <c r="G11" s="119">
        <v>42865</v>
      </c>
      <c r="H11" s="16"/>
      <c r="I11" s="16"/>
      <c r="J11" s="15" t="s">
        <v>477</v>
      </c>
      <c r="K11" s="120">
        <v>42866</v>
      </c>
      <c r="L11" s="121"/>
      <c r="M11" s="102"/>
      <c r="N11" s="102"/>
      <c r="P11" s="101">
        <v>31</v>
      </c>
      <c r="Q11" s="101">
        <v>31</v>
      </c>
      <c r="R11" s="122">
        <f t="shared" si="0"/>
        <v>1</v>
      </c>
      <c r="S11" s="102"/>
      <c r="T11" s="102" t="str">
        <f>IF(L11&lt;&gt;"",VLOOKUP(L11,Locataires!#REF!,4,0),"pas de Locataire")</f>
        <v>pas de Locataire</v>
      </c>
      <c r="U11" s="102"/>
      <c r="X11" s="390">
        <v>2016</v>
      </c>
    </row>
    <row r="12" spans="1:24">
      <c r="A12" s="187" t="s">
        <v>137</v>
      </c>
      <c r="B12" s="102">
        <v>400</v>
      </c>
      <c r="C12" s="102">
        <v>85</v>
      </c>
      <c r="D12" s="118" t="s">
        <v>427</v>
      </c>
      <c r="E12" s="119">
        <v>42892</v>
      </c>
      <c r="F12" s="118" t="s">
        <v>223</v>
      </c>
      <c r="G12" s="119"/>
      <c r="H12" s="16"/>
      <c r="I12" s="16"/>
      <c r="J12" s="15" t="s">
        <v>478</v>
      </c>
      <c r="K12" s="120">
        <v>42900</v>
      </c>
      <c r="L12" s="121"/>
      <c r="M12" s="102"/>
      <c r="N12" s="102"/>
      <c r="P12" s="101">
        <v>30</v>
      </c>
      <c r="Q12" s="101">
        <v>30</v>
      </c>
      <c r="R12" s="122">
        <f t="shared" si="0"/>
        <v>1</v>
      </c>
      <c r="S12" s="102"/>
      <c r="T12" s="102" t="str">
        <f>IF(L12&lt;&gt;"",VLOOKUP(L12,Locataires!#REF!,4,0),"pas de Locataire")</f>
        <v>pas de Locataire</v>
      </c>
      <c r="U12" s="102"/>
      <c r="X12" s="390">
        <v>2016</v>
      </c>
    </row>
    <row r="13" spans="1:24">
      <c r="A13" s="187" t="s">
        <v>138</v>
      </c>
      <c r="B13" s="102">
        <v>400</v>
      </c>
      <c r="C13" s="102">
        <v>86</v>
      </c>
      <c r="D13" s="118" t="s">
        <v>339</v>
      </c>
      <c r="E13" s="119"/>
      <c r="F13" s="118" t="s">
        <v>223</v>
      </c>
      <c r="G13" s="119"/>
      <c r="H13" s="16"/>
      <c r="I13" s="16"/>
      <c r="J13" s="15" t="s">
        <v>479</v>
      </c>
      <c r="K13" s="120"/>
      <c r="L13" s="121"/>
      <c r="M13" s="102"/>
      <c r="N13" s="102"/>
      <c r="P13" s="101">
        <v>31</v>
      </c>
      <c r="Q13" s="101">
        <v>31</v>
      </c>
      <c r="R13" s="122">
        <f t="shared" si="0"/>
        <v>1</v>
      </c>
      <c r="S13" s="102"/>
      <c r="T13" s="102" t="str">
        <f>IF(L13&lt;&gt;"",VLOOKUP(L13,Locataires!#REF!,4,0),"pas de Locataire")</f>
        <v>pas de Locataire</v>
      </c>
      <c r="U13" s="102"/>
      <c r="X13" s="390">
        <v>2016</v>
      </c>
    </row>
    <row r="14" spans="1:24">
      <c r="A14" s="187" t="s">
        <v>139</v>
      </c>
      <c r="B14" s="102">
        <v>400</v>
      </c>
      <c r="C14" s="102">
        <v>87</v>
      </c>
      <c r="D14" s="118" t="s">
        <v>339</v>
      </c>
      <c r="E14" s="119"/>
      <c r="F14" s="118" t="s">
        <v>223</v>
      </c>
      <c r="G14" s="119"/>
      <c r="H14" s="16"/>
      <c r="I14" s="16"/>
      <c r="J14" s="15" t="s">
        <v>480</v>
      </c>
      <c r="K14" s="120"/>
      <c r="L14" s="121"/>
      <c r="M14" s="102"/>
      <c r="N14" s="102"/>
      <c r="P14" s="101">
        <v>31</v>
      </c>
      <c r="Q14" s="101">
        <v>31</v>
      </c>
      <c r="R14" s="122">
        <f t="shared" si="0"/>
        <v>1</v>
      </c>
      <c r="S14" s="102"/>
      <c r="T14" s="102" t="str">
        <f>IF(L14&lt;&gt;"",VLOOKUP(L14,Locataires!#REF!,4,0),"pas de Locataire")</f>
        <v>pas de Locataire</v>
      </c>
      <c r="U14" s="102"/>
      <c r="X14" s="390">
        <v>2016</v>
      </c>
    </row>
    <row r="15" spans="1:24">
      <c r="A15" s="187" t="s">
        <v>140</v>
      </c>
      <c r="B15" s="102">
        <v>380</v>
      </c>
      <c r="C15" s="102">
        <v>70</v>
      </c>
      <c r="D15" s="118" t="s">
        <v>339</v>
      </c>
      <c r="E15" s="119"/>
      <c r="H15" s="16"/>
      <c r="I15" s="16"/>
      <c r="J15" s="15" t="s">
        <v>481</v>
      </c>
      <c r="K15" s="120"/>
      <c r="L15" s="121" t="s">
        <v>78</v>
      </c>
      <c r="M15" s="102"/>
      <c r="N15" s="102"/>
      <c r="P15" s="101">
        <v>30</v>
      </c>
      <c r="Q15" s="101">
        <v>30</v>
      </c>
      <c r="R15" s="122">
        <f t="shared" si="0"/>
        <v>1</v>
      </c>
      <c r="S15" s="102"/>
      <c r="T15" s="102" t="e">
        <f>IF(L15&lt;&gt;"",VLOOKUP(L15,Locataires!#REF!,4,0),"pas de Locataire")</f>
        <v>#REF!</v>
      </c>
      <c r="U15" s="102"/>
      <c r="X15" s="390">
        <v>2016</v>
      </c>
    </row>
    <row r="16" spans="1:24">
      <c r="A16" s="187" t="s">
        <v>141</v>
      </c>
      <c r="B16" s="102">
        <v>380</v>
      </c>
      <c r="C16" s="102">
        <v>70</v>
      </c>
      <c r="D16" s="118" t="s">
        <v>339</v>
      </c>
      <c r="E16" s="119"/>
      <c r="F16" s="118">
        <v>450</v>
      </c>
      <c r="G16" s="119">
        <v>42654</v>
      </c>
      <c r="H16" s="16"/>
      <c r="I16" s="16"/>
      <c r="J16" s="15" t="s">
        <v>482</v>
      </c>
      <c r="K16" s="120"/>
      <c r="L16" s="121" t="s">
        <v>78</v>
      </c>
      <c r="M16" s="102"/>
      <c r="N16" s="102"/>
      <c r="P16" s="101">
        <v>31</v>
      </c>
      <c r="Q16" s="101">
        <v>31</v>
      </c>
      <c r="R16" s="122">
        <f t="shared" si="0"/>
        <v>1</v>
      </c>
      <c r="S16" s="102"/>
      <c r="T16" s="102" t="e">
        <f>IF(L16&lt;&gt;"",VLOOKUP(L16,Locataires!#REF!,4,0),"pas de Locataire")</f>
        <v>#REF!</v>
      </c>
      <c r="U16" s="102"/>
      <c r="X16" s="390">
        <v>2016</v>
      </c>
    </row>
    <row r="17" spans="1:24">
      <c r="A17" s="188" t="s">
        <v>135</v>
      </c>
      <c r="B17" s="102">
        <v>380</v>
      </c>
      <c r="C17" s="102">
        <v>70</v>
      </c>
      <c r="D17" s="118">
        <v>272</v>
      </c>
      <c r="E17" s="119">
        <v>42678</v>
      </c>
      <c r="F17" s="118" t="s">
        <v>223</v>
      </c>
      <c r="G17" s="119"/>
      <c r="H17" s="16"/>
      <c r="I17" s="16"/>
      <c r="J17" s="15" t="s">
        <v>483</v>
      </c>
      <c r="K17" s="120"/>
      <c r="L17" s="121" t="s">
        <v>78</v>
      </c>
      <c r="M17" s="102"/>
      <c r="N17" s="102"/>
      <c r="P17" s="101">
        <v>30</v>
      </c>
      <c r="Q17" s="101">
        <v>30</v>
      </c>
      <c r="R17" s="122">
        <f t="shared" si="0"/>
        <v>1</v>
      </c>
      <c r="S17" s="102"/>
      <c r="T17" s="102" t="e">
        <f>IF(L17&lt;&gt;"",VLOOKUP(L17,Locataires!#REF!,4,0),"pas de Locataire")</f>
        <v>#REF!</v>
      </c>
      <c r="U17" s="102"/>
      <c r="V17" s="146">
        <v>42690</v>
      </c>
      <c r="W17" s="422"/>
      <c r="X17" s="390">
        <v>2016</v>
      </c>
    </row>
    <row r="18" spans="1:24">
      <c r="A18" s="188" t="s">
        <v>142</v>
      </c>
      <c r="B18" s="102">
        <v>380</v>
      </c>
      <c r="C18" s="102">
        <v>70</v>
      </c>
      <c r="D18" s="118">
        <v>272</v>
      </c>
      <c r="E18" s="119">
        <v>42709</v>
      </c>
      <c r="F18" s="118" t="s">
        <v>223</v>
      </c>
      <c r="G18" s="119"/>
      <c r="H18" s="152"/>
      <c r="I18" s="152"/>
      <c r="J18" s="15" t="s">
        <v>484</v>
      </c>
      <c r="K18" s="153"/>
      <c r="L18" s="422" t="s">
        <v>78</v>
      </c>
      <c r="M18" s="102"/>
      <c r="N18" s="102"/>
      <c r="P18" s="101">
        <v>31</v>
      </c>
      <c r="Q18" s="101">
        <v>31</v>
      </c>
      <c r="R18" s="122">
        <f t="shared" si="0"/>
        <v>1</v>
      </c>
      <c r="S18" s="102"/>
      <c r="T18" s="102" t="e">
        <f>IF(L18&lt;&gt;"",VLOOKUP(L18,Locataires!#REF!,4,0),"pas de Locataire")</f>
        <v>#REF!</v>
      </c>
      <c r="U18" s="102"/>
      <c r="V18" s="422"/>
      <c r="W18" s="422"/>
      <c r="X18" s="390">
        <v>2016</v>
      </c>
    </row>
    <row r="19" spans="1:24">
      <c r="A19" s="187" t="s">
        <v>131</v>
      </c>
      <c r="B19" s="102" t="s">
        <v>383</v>
      </c>
      <c r="C19" s="102" t="s">
        <v>384</v>
      </c>
      <c r="D19" s="118" t="s">
        <v>341</v>
      </c>
      <c r="E19" s="119">
        <v>42740</v>
      </c>
      <c r="F19" s="118" t="s">
        <v>428</v>
      </c>
      <c r="G19" s="119">
        <v>42752</v>
      </c>
      <c r="H19" s="16"/>
      <c r="I19" s="16"/>
      <c r="J19" s="15" t="s">
        <v>430</v>
      </c>
      <c r="K19" s="120">
        <v>42768</v>
      </c>
      <c r="L19" s="121" t="s">
        <v>78</v>
      </c>
      <c r="M19" s="102"/>
      <c r="N19" s="102"/>
      <c r="P19" s="101">
        <v>28</v>
      </c>
      <c r="Q19" s="101">
        <v>28</v>
      </c>
      <c r="R19" s="122">
        <f t="shared" si="0"/>
        <v>1</v>
      </c>
      <c r="S19" s="102"/>
      <c r="T19" s="102" t="e">
        <f>IF(L19&lt;&gt;"",VLOOKUP(L19,Locataires!C5:L7,4,0),"pas de Locataire")</f>
        <v>#N/A</v>
      </c>
      <c r="U19" s="102" t="s">
        <v>99</v>
      </c>
      <c r="V19" s="200">
        <v>42773.279247685183</v>
      </c>
      <c r="X19" s="390">
        <v>2017</v>
      </c>
    </row>
    <row r="20" spans="1:24">
      <c r="A20" s="187" t="s">
        <v>147</v>
      </c>
      <c r="B20" s="102" t="s">
        <v>383</v>
      </c>
      <c r="C20" s="102" t="s">
        <v>384</v>
      </c>
      <c r="D20" s="118" t="s">
        <v>341</v>
      </c>
      <c r="E20" s="119">
        <v>42772</v>
      </c>
      <c r="F20" s="118" t="s">
        <v>428</v>
      </c>
      <c r="G20" s="119">
        <v>42773</v>
      </c>
      <c r="H20" s="16"/>
      <c r="I20" s="16"/>
      <c r="J20" s="15" t="s">
        <v>430</v>
      </c>
      <c r="K20" s="120">
        <v>42768</v>
      </c>
      <c r="L20" s="121" t="s">
        <v>78</v>
      </c>
      <c r="M20" s="102"/>
      <c r="N20" s="102"/>
      <c r="P20" s="101">
        <v>28</v>
      </c>
      <c r="Q20" s="101">
        <v>28</v>
      </c>
      <c r="R20" s="122">
        <f t="shared" si="0"/>
        <v>1</v>
      </c>
      <c r="S20" s="102"/>
      <c r="T20" s="102" t="e">
        <f>IF(L20&lt;&gt;"",VLOOKUP(L20,Locataires!C6:L8,4,0),"pas de Locataire")</f>
        <v>#N/A</v>
      </c>
      <c r="U20" s="102" t="s">
        <v>99</v>
      </c>
      <c r="V20" s="200">
        <v>42773.279247685183</v>
      </c>
      <c r="X20" s="390">
        <v>2017</v>
      </c>
    </row>
    <row r="21" spans="1:24">
      <c r="A21" s="187" t="s">
        <v>134</v>
      </c>
      <c r="B21" s="102" t="s">
        <v>383</v>
      </c>
      <c r="C21" s="102" t="s">
        <v>466</v>
      </c>
      <c r="D21" s="118" t="s">
        <v>341</v>
      </c>
      <c r="E21" s="119">
        <v>42800</v>
      </c>
      <c r="F21" s="118" t="s">
        <v>389</v>
      </c>
      <c r="G21" s="119">
        <v>42807</v>
      </c>
      <c r="H21" s="16"/>
      <c r="I21" s="16"/>
      <c r="J21" s="15" t="s">
        <v>447</v>
      </c>
      <c r="K21" s="120">
        <v>42814</v>
      </c>
      <c r="L21" s="121" t="s">
        <v>78</v>
      </c>
      <c r="M21" s="102"/>
      <c r="N21" s="101" t="s">
        <v>388</v>
      </c>
      <c r="P21" s="101">
        <v>31</v>
      </c>
      <c r="Q21" s="101">
        <v>31</v>
      </c>
      <c r="R21" s="122">
        <f t="shared" si="0"/>
        <v>1</v>
      </c>
      <c r="S21" s="102"/>
      <c r="T21" s="102" t="e">
        <f>IF(L21&lt;&gt;"",VLOOKUP(L21,Locataires!C7:L8,4,0),"pas de Locataire")</f>
        <v>#N/A</v>
      </c>
      <c r="U21" s="102"/>
      <c r="X21" s="390">
        <v>2017</v>
      </c>
    </row>
    <row r="22" spans="1:24">
      <c r="A22" s="187" t="s">
        <v>132</v>
      </c>
      <c r="B22" s="102" t="s">
        <v>383</v>
      </c>
      <c r="C22" s="102" t="s">
        <v>467</v>
      </c>
      <c r="D22" s="118" t="s">
        <v>427</v>
      </c>
      <c r="E22" s="119">
        <v>42830</v>
      </c>
      <c r="F22" s="118" t="s">
        <v>330</v>
      </c>
      <c r="G22" s="119">
        <v>42832</v>
      </c>
      <c r="H22" s="16"/>
      <c r="I22" s="16"/>
      <c r="J22" s="15" t="s">
        <v>476</v>
      </c>
      <c r="K22" s="120">
        <v>42835</v>
      </c>
      <c r="L22" s="121" t="s">
        <v>78</v>
      </c>
      <c r="M22" s="102"/>
      <c r="N22" s="102"/>
      <c r="P22" s="101">
        <v>30</v>
      </c>
      <c r="Q22" s="101">
        <v>30</v>
      </c>
      <c r="R22" s="122">
        <f t="shared" si="0"/>
        <v>1</v>
      </c>
      <c r="S22" s="102"/>
      <c r="T22" s="102" t="e">
        <f>IF(L22&lt;&gt;"",VLOOKUP(L22,Locataires!C8:L8,4,0),"pas de Locataire")</f>
        <v>#N/A</v>
      </c>
      <c r="U22" s="102"/>
      <c r="X22" s="390">
        <v>2017</v>
      </c>
    </row>
    <row r="23" spans="1:24">
      <c r="A23" s="187" t="s">
        <v>136</v>
      </c>
      <c r="B23" s="102" t="s">
        <v>383</v>
      </c>
      <c r="C23" s="102" t="s">
        <v>468</v>
      </c>
      <c r="D23" s="118" t="s">
        <v>427</v>
      </c>
      <c r="E23" s="119">
        <v>42860</v>
      </c>
      <c r="F23" s="118" t="s">
        <v>429</v>
      </c>
      <c r="G23" s="119">
        <v>42865</v>
      </c>
      <c r="H23" s="16"/>
      <c r="I23" s="16"/>
      <c r="J23" s="15" t="s">
        <v>477</v>
      </c>
      <c r="K23" s="120">
        <v>42866</v>
      </c>
      <c r="L23" s="121" t="s">
        <v>78</v>
      </c>
      <c r="M23" s="102"/>
      <c r="N23" s="102"/>
      <c r="P23" s="101">
        <v>31</v>
      </c>
      <c r="Q23" s="101">
        <v>31</v>
      </c>
      <c r="R23" s="122">
        <f t="shared" si="0"/>
        <v>1</v>
      </c>
      <c r="S23" s="102"/>
      <c r="T23" s="102" t="e">
        <f>IF(L23&lt;&gt;"",VLOOKUP(L23,Locataires!#REF!,4,0),"pas de Locataire")</f>
        <v>#REF!</v>
      </c>
      <c r="U23" s="102"/>
      <c r="X23" s="390">
        <v>2017</v>
      </c>
    </row>
    <row r="24" spans="1:24">
      <c r="A24" s="187" t="s">
        <v>137</v>
      </c>
      <c r="B24" s="102" t="s">
        <v>383</v>
      </c>
      <c r="C24" s="102" t="s">
        <v>469</v>
      </c>
      <c r="D24" s="118" t="s">
        <v>427</v>
      </c>
      <c r="E24" s="119">
        <v>42892</v>
      </c>
      <c r="F24" s="118" t="s">
        <v>223</v>
      </c>
      <c r="G24" s="119"/>
      <c r="H24" s="16"/>
      <c r="I24" s="16"/>
      <c r="J24" s="15" t="s">
        <v>478</v>
      </c>
      <c r="K24" s="120">
        <v>42900</v>
      </c>
      <c r="L24" s="121" t="s">
        <v>78</v>
      </c>
      <c r="M24" s="102"/>
      <c r="N24" s="102"/>
      <c r="P24" s="101">
        <v>30</v>
      </c>
      <c r="Q24" s="101">
        <v>30</v>
      </c>
      <c r="R24" s="122">
        <f t="shared" si="0"/>
        <v>1</v>
      </c>
      <c r="S24" s="102"/>
      <c r="T24" s="102" t="e">
        <f>IF(L24&lt;&gt;"",VLOOKUP(L24,Locataires!#REF!,4,0),"pas de Locataire")</f>
        <v>#REF!</v>
      </c>
      <c r="U24" s="102"/>
      <c r="X24" s="390">
        <v>2017</v>
      </c>
    </row>
    <row r="25" spans="1:24">
      <c r="A25" s="187" t="s">
        <v>138</v>
      </c>
      <c r="B25" s="102" t="s">
        <v>383</v>
      </c>
      <c r="C25" s="102" t="s">
        <v>470</v>
      </c>
      <c r="D25" s="118" t="s">
        <v>339</v>
      </c>
      <c r="E25" s="119"/>
      <c r="F25" s="118" t="s">
        <v>223</v>
      </c>
      <c r="G25" s="119"/>
      <c r="H25" s="16"/>
      <c r="I25" s="16"/>
      <c r="J25" s="15" t="s">
        <v>479</v>
      </c>
      <c r="K25" s="120"/>
      <c r="L25" s="121"/>
      <c r="M25" s="102"/>
      <c r="N25" s="102"/>
      <c r="P25" s="101">
        <v>31</v>
      </c>
      <c r="Q25" s="101">
        <v>31</v>
      </c>
      <c r="R25" s="122">
        <f t="shared" si="0"/>
        <v>1</v>
      </c>
      <c r="S25" s="102"/>
      <c r="T25" s="102" t="str">
        <f>IF(L25&lt;&gt;"",VLOOKUP(L25,Locataires!#REF!,4,0),"pas de Locataire")</f>
        <v>pas de Locataire</v>
      </c>
      <c r="U25" s="102"/>
      <c r="X25" s="390">
        <v>2017</v>
      </c>
    </row>
    <row r="26" spans="1:24">
      <c r="A26" s="187" t="s">
        <v>139</v>
      </c>
      <c r="B26" s="102" t="s">
        <v>383</v>
      </c>
      <c r="C26" s="102" t="s">
        <v>471</v>
      </c>
      <c r="D26" s="118" t="s">
        <v>339</v>
      </c>
      <c r="E26" s="119"/>
      <c r="F26" s="118" t="s">
        <v>223</v>
      </c>
      <c r="G26" s="119"/>
      <c r="H26" s="16"/>
      <c r="I26" s="16"/>
      <c r="J26" s="15" t="s">
        <v>480</v>
      </c>
      <c r="K26" s="120"/>
      <c r="L26" s="121"/>
      <c r="M26" s="102"/>
      <c r="N26" s="102"/>
      <c r="P26" s="101">
        <v>31</v>
      </c>
      <c r="Q26" s="101">
        <v>31</v>
      </c>
      <c r="R26" s="122">
        <f t="shared" si="0"/>
        <v>1</v>
      </c>
      <c r="S26" s="102"/>
      <c r="T26" s="102" t="str">
        <f>IF(L26&lt;&gt;"",VLOOKUP(L26,Locataires!#REF!,4,0),"pas de Locataire")</f>
        <v>pas de Locataire</v>
      </c>
      <c r="U26" s="102"/>
      <c r="X26" s="390">
        <v>2017</v>
      </c>
    </row>
    <row r="27" spans="1:24">
      <c r="A27" s="187" t="s">
        <v>140</v>
      </c>
      <c r="B27" s="102" t="s">
        <v>383</v>
      </c>
      <c r="C27" s="102" t="s">
        <v>472</v>
      </c>
      <c r="D27" s="118" t="s">
        <v>339</v>
      </c>
      <c r="E27" s="119"/>
      <c r="F27" s="118" t="s">
        <v>223</v>
      </c>
      <c r="G27" s="119"/>
      <c r="H27" s="16"/>
      <c r="I27" s="16"/>
      <c r="J27" s="15" t="s">
        <v>481</v>
      </c>
      <c r="K27" s="120"/>
      <c r="L27" s="121"/>
      <c r="M27" s="102"/>
      <c r="N27" s="102"/>
      <c r="P27" s="101">
        <v>30</v>
      </c>
      <c r="Q27" s="101">
        <v>30</v>
      </c>
      <c r="R27" s="122">
        <f t="shared" si="0"/>
        <v>1</v>
      </c>
      <c r="S27" s="102"/>
      <c r="T27" s="102" t="str">
        <f>IF(L27&lt;&gt;"",VLOOKUP(L27,Locataires!#REF!,4,0),"pas de Locataire")</f>
        <v>pas de Locataire</v>
      </c>
      <c r="U27" s="102"/>
      <c r="X27" s="390">
        <v>2017</v>
      </c>
    </row>
    <row r="28" spans="1:24">
      <c r="A28" s="187" t="s">
        <v>141</v>
      </c>
      <c r="B28" s="102" t="s">
        <v>383</v>
      </c>
      <c r="C28" s="102" t="s">
        <v>473</v>
      </c>
      <c r="D28" s="118" t="s">
        <v>339</v>
      </c>
      <c r="E28" s="119"/>
      <c r="F28" s="118" t="s">
        <v>223</v>
      </c>
      <c r="G28" s="119"/>
      <c r="H28" s="16"/>
      <c r="I28" s="16"/>
      <c r="J28" s="15" t="s">
        <v>482</v>
      </c>
      <c r="K28" s="120"/>
      <c r="L28" s="121"/>
      <c r="M28" s="102"/>
      <c r="N28" s="102"/>
      <c r="P28" s="101">
        <v>31</v>
      </c>
      <c r="Q28" s="101">
        <v>31</v>
      </c>
      <c r="R28" s="122">
        <f t="shared" si="0"/>
        <v>1</v>
      </c>
      <c r="S28" s="102"/>
      <c r="T28" s="102" t="str">
        <f>IF(L28&lt;&gt;"",VLOOKUP(L28,Locataires!#REF!,4,0),"pas de Locataire")</f>
        <v>pas de Locataire</v>
      </c>
      <c r="U28" s="102"/>
      <c r="X28" s="390">
        <v>2017</v>
      </c>
    </row>
    <row r="29" spans="1:24">
      <c r="A29" s="188" t="s">
        <v>135</v>
      </c>
      <c r="B29" s="102" t="s">
        <v>383</v>
      </c>
      <c r="C29" s="102" t="s">
        <v>474</v>
      </c>
      <c r="D29" s="118" t="s">
        <v>339</v>
      </c>
      <c r="E29" s="119"/>
      <c r="F29" s="118" t="s">
        <v>223</v>
      </c>
      <c r="G29" s="119"/>
      <c r="H29" s="16"/>
      <c r="I29" s="16"/>
      <c r="J29" s="15" t="s">
        <v>483</v>
      </c>
      <c r="K29" s="120"/>
      <c r="L29" s="121"/>
      <c r="M29" s="102"/>
      <c r="N29" s="102"/>
      <c r="P29" s="101">
        <v>30</v>
      </c>
      <c r="Q29" s="101">
        <v>30</v>
      </c>
      <c r="R29" s="122">
        <f t="shared" si="0"/>
        <v>1</v>
      </c>
      <c r="S29" s="102"/>
      <c r="T29" s="102" t="str">
        <f>IF(L29&lt;&gt;"",VLOOKUP(L29,Locataires!#REF!,4,0),"pas de Locataire")</f>
        <v>pas de Locataire</v>
      </c>
      <c r="U29" s="102"/>
      <c r="V29" s="146">
        <v>42690</v>
      </c>
      <c r="W29" s="422"/>
      <c r="X29" s="390">
        <v>2017</v>
      </c>
    </row>
    <row r="30" spans="1:24">
      <c r="A30" s="188" t="s">
        <v>142</v>
      </c>
      <c r="B30" s="102" t="s">
        <v>383</v>
      </c>
      <c r="C30" s="102" t="s">
        <v>475</v>
      </c>
      <c r="D30" s="118" t="s">
        <v>339</v>
      </c>
      <c r="E30" s="119"/>
      <c r="F30" s="118" t="s">
        <v>223</v>
      </c>
      <c r="G30" s="119"/>
      <c r="H30" s="152"/>
      <c r="I30" s="152"/>
      <c r="J30" s="15" t="s">
        <v>484</v>
      </c>
      <c r="K30" s="153"/>
      <c r="L30" s="422"/>
      <c r="M30" s="102"/>
      <c r="N30" s="102"/>
      <c r="P30" s="101">
        <v>31</v>
      </c>
      <c r="Q30" s="101">
        <v>31</v>
      </c>
      <c r="R30" s="122">
        <f t="shared" si="0"/>
        <v>1</v>
      </c>
      <c r="S30" s="102"/>
      <c r="T30" s="102" t="str">
        <f>IF(L30&lt;&gt;"",VLOOKUP(L30,Locataires!#REF!,4,0),"pas de Locataire")</f>
        <v>pas de Locataire</v>
      </c>
      <c r="U30" s="102"/>
      <c r="V30" s="422"/>
      <c r="W30" s="422"/>
      <c r="X30" s="390">
        <v>2017</v>
      </c>
    </row>
    <row r="31" spans="1:24">
      <c r="A31" s="187" t="s">
        <v>131</v>
      </c>
      <c r="B31" s="102" t="s">
        <v>383</v>
      </c>
      <c r="C31" s="102" t="s">
        <v>384</v>
      </c>
      <c r="D31" s="118" t="s">
        <v>341</v>
      </c>
      <c r="E31" s="119"/>
      <c r="F31" s="118"/>
      <c r="G31" s="119"/>
      <c r="H31" s="16"/>
      <c r="I31" s="16"/>
      <c r="J31" s="15" t="s">
        <v>339</v>
      </c>
      <c r="K31" s="120"/>
      <c r="L31" s="121"/>
      <c r="M31" s="102"/>
      <c r="N31" s="102"/>
      <c r="P31" s="101">
        <v>31</v>
      </c>
      <c r="Q31" s="101">
        <v>31</v>
      </c>
      <c r="R31" s="122">
        <f>P31/Q31</f>
        <v>1</v>
      </c>
      <c r="S31" s="102"/>
      <c r="T31" s="102" t="str">
        <f>IF(L31&lt;&gt;"",VLOOKUP(L31,Locataires!C11:L13,4,0),"pas de Locataire")</f>
        <v>pas de Locataire</v>
      </c>
      <c r="U31" s="102" t="s">
        <v>99</v>
      </c>
      <c r="V31" s="196">
        <v>42754</v>
      </c>
      <c r="X31" s="390">
        <v>2018</v>
      </c>
    </row>
    <row r="32" spans="1:24">
      <c r="A32" s="187" t="s">
        <v>147</v>
      </c>
      <c r="B32" s="102" t="s">
        <v>383</v>
      </c>
      <c r="C32" s="102" t="s">
        <v>384</v>
      </c>
      <c r="D32" s="118" t="s">
        <v>341</v>
      </c>
      <c r="E32" s="119"/>
      <c r="F32" s="118"/>
      <c r="G32" s="119"/>
      <c r="H32" s="16"/>
      <c r="I32" s="16"/>
      <c r="J32" s="15" t="s">
        <v>430</v>
      </c>
      <c r="K32" s="120"/>
      <c r="L32" s="121"/>
      <c r="M32" s="102"/>
      <c r="N32" s="102"/>
      <c r="P32" s="101">
        <v>28</v>
      </c>
      <c r="Q32" s="101">
        <v>28</v>
      </c>
      <c r="R32" s="122">
        <f t="shared" ref="R32:R42" si="1">P32/Q32</f>
        <v>1</v>
      </c>
      <c r="S32" s="102"/>
      <c r="T32" s="102" t="str">
        <f>IF(L32&lt;&gt;"",VLOOKUP(L32,Locataires!C11:L13,4,0),"pas de Locataire")</f>
        <v>pas de Locataire</v>
      </c>
      <c r="U32" s="102" t="s">
        <v>99</v>
      </c>
      <c r="V32" s="200">
        <v>42773.279247685183</v>
      </c>
      <c r="X32" s="390">
        <v>2018</v>
      </c>
    </row>
    <row r="33" spans="1:24">
      <c r="A33" s="187" t="s">
        <v>134</v>
      </c>
      <c r="B33" s="102" t="s">
        <v>383</v>
      </c>
      <c r="C33" s="102" t="s">
        <v>466</v>
      </c>
      <c r="D33" s="118" t="s">
        <v>341</v>
      </c>
      <c r="E33" s="119"/>
      <c r="F33" s="118"/>
      <c r="G33" s="119"/>
      <c r="H33" s="16"/>
      <c r="I33" s="16"/>
      <c r="J33" s="15" t="s">
        <v>447</v>
      </c>
      <c r="K33" s="120"/>
      <c r="L33" s="121"/>
      <c r="M33" s="102"/>
      <c r="N33" s="101"/>
      <c r="P33" s="101">
        <v>31</v>
      </c>
      <c r="Q33" s="101">
        <v>31</v>
      </c>
      <c r="R33" s="122">
        <f t="shared" si="1"/>
        <v>1</v>
      </c>
      <c r="S33" s="102"/>
      <c r="T33" s="102" t="str">
        <f>IF(L33&lt;&gt;"",VLOOKUP(L33,Locataires!C12:L13,4,0),"pas de Locataire")</f>
        <v>pas de Locataire</v>
      </c>
      <c r="U33" s="102"/>
      <c r="X33" s="390">
        <v>2018</v>
      </c>
    </row>
    <row r="34" spans="1:24">
      <c r="A34" s="187" t="s">
        <v>132</v>
      </c>
      <c r="B34" s="102" t="s">
        <v>383</v>
      </c>
      <c r="C34" s="102" t="s">
        <v>467</v>
      </c>
      <c r="D34" s="118" t="s">
        <v>427</v>
      </c>
      <c r="E34" s="119"/>
      <c r="F34" s="118"/>
      <c r="G34" s="119"/>
      <c r="H34" s="16"/>
      <c r="I34" s="16"/>
      <c r="J34" s="15" t="s">
        <v>476</v>
      </c>
      <c r="K34" s="120"/>
      <c r="L34" s="121"/>
      <c r="M34" s="102"/>
      <c r="N34" s="102"/>
      <c r="P34" s="101">
        <v>30</v>
      </c>
      <c r="Q34" s="101">
        <v>30</v>
      </c>
      <c r="R34" s="122">
        <f t="shared" si="1"/>
        <v>1</v>
      </c>
      <c r="S34" s="102"/>
      <c r="T34" s="102" t="str">
        <f>IF(L34&lt;&gt;"",VLOOKUP(L34,Locataires!C13:L13,4,0),"pas de Locataire")</f>
        <v>pas de Locataire</v>
      </c>
      <c r="U34" s="102"/>
      <c r="X34" s="390">
        <v>2018</v>
      </c>
    </row>
    <row r="35" spans="1:24">
      <c r="A35" s="187" t="s">
        <v>136</v>
      </c>
      <c r="B35" s="102" t="s">
        <v>383</v>
      </c>
      <c r="C35" s="102" t="s">
        <v>468</v>
      </c>
      <c r="D35" s="118" t="s">
        <v>427</v>
      </c>
      <c r="E35" s="119"/>
      <c r="F35" s="118"/>
      <c r="G35" s="119"/>
      <c r="H35" s="16"/>
      <c r="I35" s="16"/>
      <c r="J35" s="15" t="s">
        <v>477</v>
      </c>
      <c r="K35" s="120"/>
      <c r="L35" s="121"/>
      <c r="M35" s="102"/>
      <c r="N35" s="102"/>
      <c r="P35" s="101">
        <v>31</v>
      </c>
      <c r="Q35" s="101">
        <v>31</v>
      </c>
      <c r="R35" s="122">
        <f t="shared" si="1"/>
        <v>1</v>
      </c>
      <c r="S35" s="102"/>
      <c r="T35" s="102" t="str">
        <f>IF(L35&lt;&gt;"",VLOOKUP(L35,Locataires!#REF!,4,0),"pas de Locataire")</f>
        <v>pas de Locataire</v>
      </c>
      <c r="U35" s="102"/>
      <c r="X35" s="390">
        <v>2018</v>
      </c>
    </row>
    <row r="36" spans="1:24">
      <c r="A36" s="187" t="s">
        <v>137</v>
      </c>
      <c r="B36" s="102" t="s">
        <v>383</v>
      </c>
      <c r="C36" s="102" t="s">
        <v>469</v>
      </c>
      <c r="D36" s="118" t="s">
        <v>427</v>
      </c>
      <c r="E36" s="119"/>
      <c r="F36" s="118" t="s">
        <v>223</v>
      </c>
      <c r="G36" s="119"/>
      <c r="H36" s="16"/>
      <c r="I36" s="16"/>
      <c r="J36" s="15" t="s">
        <v>478</v>
      </c>
      <c r="K36" s="120"/>
      <c r="L36" s="121"/>
      <c r="M36" s="102"/>
      <c r="N36" s="102"/>
      <c r="P36" s="101">
        <v>30</v>
      </c>
      <c r="Q36" s="101">
        <v>30</v>
      </c>
      <c r="R36" s="122">
        <f t="shared" si="1"/>
        <v>1</v>
      </c>
      <c r="S36" s="102"/>
      <c r="T36" s="102" t="str">
        <f>IF(L36&lt;&gt;"",VLOOKUP(L36,Locataires!#REF!,4,0),"pas de Locataire")</f>
        <v>pas de Locataire</v>
      </c>
      <c r="U36" s="102"/>
      <c r="X36" s="390">
        <v>2018</v>
      </c>
    </row>
    <row r="37" spans="1:24">
      <c r="A37" s="187" t="s">
        <v>138</v>
      </c>
      <c r="B37" s="102" t="s">
        <v>383</v>
      </c>
      <c r="C37" s="102" t="s">
        <v>470</v>
      </c>
      <c r="D37" s="118" t="s">
        <v>339</v>
      </c>
      <c r="E37" s="119"/>
      <c r="F37" s="118" t="s">
        <v>223</v>
      </c>
      <c r="G37" s="119"/>
      <c r="H37" s="16"/>
      <c r="I37" s="16"/>
      <c r="J37" s="15" t="s">
        <v>479</v>
      </c>
      <c r="K37" s="120"/>
      <c r="L37" s="121"/>
      <c r="M37" s="102"/>
      <c r="N37" s="102"/>
      <c r="P37" s="101">
        <v>31</v>
      </c>
      <c r="Q37" s="101">
        <v>31</v>
      </c>
      <c r="R37" s="122">
        <f t="shared" si="1"/>
        <v>1</v>
      </c>
      <c r="S37" s="102"/>
      <c r="T37" s="102" t="str">
        <f>IF(L37&lt;&gt;"",VLOOKUP(L37,Locataires!#REF!,4,0),"pas de Locataire")</f>
        <v>pas de Locataire</v>
      </c>
      <c r="U37" s="102"/>
      <c r="X37" s="390">
        <v>2018</v>
      </c>
    </row>
    <row r="38" spans="1:24">
      <c r="A38" s="187" t="s">
        <v>139</v>
      </c>
      <c r="B38" s="102" t="s">
        <v>383</v>
      </c>
      <c r="C38" s="102" t="s">
        <v>471</v>
      </c>
      <c r="D38" s="118" t="s">
        <v>339</v>
      </c>
      <c r="E38" s="119"/>
      <c r="F38" s="118" t="s">
        <v>223</v>
      </c>
      <c r="G38" s="119"/>
      <c r="H38" s="16"/>
      <c r="I38" s="16"/>
      <c r="J38" s="15" t="s">
        <v>480</v>
      </c>
      <c r="K38" s="120"/>
      <c r="L38" s="121"/>
      <c r="M38" s="102"/>
      <c r="N38" s="102"/>
      <c r="P38" s="101">
        <v>31</v>
      </c>
      <c r="Q38" s="101">
        <v>31</v>
      </c>
      <c r="R38" s="122">
        <f t="shared" si="1"/>
        <v>1</v>
      </c>
      <c r="S38" s="102"/>
      <c r="T38" s="102" t="str">
        <f>IF(L38&lt;&gt;"",VLOOKUP(L38,Locataires!#REF!,4,0),"pas de Locataire")</f>
        <v>pas de Locataire</v>
      </c>
      <c r="U38" s="102"/>
      <c r="X38" s="390">
        <v>2018</v>
      </c>
    </row>
    <row r="39" spans="1:24">
      <c r="A39" s="187" t="s">
        <v>140</v>
      </c>
      <c r="B39" s="102" t="s">
        <v>383</v>
      </c>
      <c r="C39" s="102" t="s">
        <v>472</v>
      </c>
      <c r="D39" s="118" t="s">
        <v>339</v>
      </c>
      <c r="E39" s="119"/>
      <c r="F39" s="118" t="s">
        <v>223</v>
      </c>
      <c r="G39" s="119"/>
      <c r="H39" s="16"/>
      <c r="I39" s="16"/>
      <c r="J39" s="15" t="s">
        <v>481</v>
      </c>
      <c r="K39" s="120"/>
      <c r="L39" s="121"/>
      <c r="M39" s="102"/>
      <c r="N39" s="102"/>
      <c r="P39" s="101">
        <v>30</v>
      </c>
      <c r="Q39" s="101">
        <v>30</v>
      </c>
      <c r="R39" s="122">
        <f t="shared" si="1"/>
        <v>1</v>
      </c>
      <c r="S39" s="102"/>
      <c r="T39" s="102" t="str">
        <f>IF(L39&lt;&gt;"",VLOOKUP(L39,Locataires!#REF!,4,0),"pas de Locataire")</f>
        <v>pas de Locataire</v>
      </c>
      <c r="U39" s="102"/>
      <c r="X39" s="390">
        <v>2018</v>
      </c>
    </row>
    <row r="40" spans="1:24">
      <c r="A40" s="187" t="s">
        <v>141</v>
      </c>
      <c r="B40" s="102" t="s">
        <v>383</v>
      </c>
      <c r="C40" s="102" t="s">
        <v>473</v>
      </c>
      <c r="D40" s="118" t="s">
        <v>339</v>
      </c>
      <c r="E40" s="119"/>
      <c r="F40" s="118" t="s">
        <v>223</v>
      </c>
      <c r="G40" s="119">
        <v>42752</v>
      </c>
      <c r="H40" s="16"/>
      <c r="I40" s="16"/>
      <c r="J40" s="15" t="s">
        <v>482</v>
      </c>
      <c r="K40" s="120"/>
      <c r="L40" s="121"/>
      <c r="M40" s="102"/>
      <c r="N40" s="102"/>
      <c r="P40" s="101">
        <v>31</v>
      </c>
      <c r="Q40" s="101">
        <v>31</v>
      </c>
      <c r="R40" s="122">
        <f t="shared" si="1"/>
        <v>1</v>
      </c>
      <c r="S40" s="102"/>
      <c r="T40" s="102" t="str">
        <f>IF(L40&lt;&gt;"",VLOOKUP(L40,Locataires!#REF!,4,0),"pas de Locataire")</f>
        <v>pas de Locataire</v>
      </c>
      <c r="U40" s="102"/>
      <c r="X40" s="390">
        <v>2018</v>
      </c>
    </row>
    <row r="41" spans="1:24">
      <c r="A41" s="188" t="s">
        <v>135</v>
      </c>
      <c r="B41" s="102" t="s">
        <v>383</v>
      </c>
      <c r="C41" s="102" t="s">
        <v>474</v>
      </c>
      <c r="D41" s="118" t="s">
        <v>339</v>
      </c>
      <c r="E41" s="119"/>
      <c r="F41" s="118" t="s">
        <v>223</v>
      </c>
      <c r="G41" s="119"/>
      <c r="H41" s="16"/>
      <c r="I41" s="16"/>
      <c r="J41" s="15" t="s">
        <v>483</v>
      </c>
      <c r="K41" s="120"/>
      <c r="L41" s="121"/>
      <c r="M41" s="102"/>
      <c r="N41" s="102"/>
      <c r="P41" s="101">
        <v>30</v>
      </c>
      <c r="Q41" s="101">
        <v>30</v>
      </c>
      <c r="R41" s="122">
        <f t="shared" si="1"/>
        <v>1</v>
      </c>
      <c r="S41" s="102"/>
      <c r="T41" s="102" t="str">
        <f>IF(L41&lt;&gt;"",VLOOKUP(L41,Locataires!#REF!,4,0),"pas de Locataire")</f>
        <v>pas de Locataire</v>
      </c>
      <c r="U41" s="102"/>
      <c r="V41" s="146">
        <v>42690</v>
      </c>
      <c r="W41" s="422"/>
      <c r="X41" s="390">
        <v>2018</v>
      </c>
    </row>
    <row r="42" spans="1:24">
      <c r="A42" s="188" t="s">
        <v>142</v>
      </c>
      <c r="B42" s="102" t="s">
        <v>383</v>
      </c>
      <c r="C42" s="102" t="s">
        <v>475</v>
      </c>
      <c r="D42" s="118" t="s">
        <v>339</v>
      </c>
      <c r="E42" s="119"/>
      <c r="F42" s="118" t="s">
        <v>223</v>
      </c>
      <c r="G42" s="119"/>
      <c r="H42" s="152"/>
      <c r="I42" s="152"/>
      <c r="J42" s="15" t="s">
        <v>484</v>
      </c>
      <c r="K42" s="153"/>
      <c r="L42" s="422"/>
      <c r="M42" s="102"/>
      <c r="N42" s="102"/>
      <c r="P42" s="101">
        <v>31</v>
      </c>
      <c r="Q42" s="101">
        <v>31</v>
      </c>
      <c r="R42" s="122">
        <f t="shared" si="1"/>
        <v>1</v>
      </c>
      <c r="S42" s="102"/>
      <c r="T42" s="102" t="str">
        <f>IF(L42&lt;&gt;"",VLOOKUP(L42,Locataires!#REF!,4,0),"pas de Locataire")</f>
        <v>pas de Locataire</v>
      </c>
      <c r="U42" s="102"/>
      <c r="V42" s="422"/>
      <c r="W42" s="422"/>
      <c r="X42" s="390">
        <v>2018</v>
      </c>
    </row>
  </sheetData>
  <sheetProtection selectLockedCells="1" selectUnlockedCells="1"/>
  <mergeCells count="11">
    <mergeCell ref="B5:C5"/>
    <mergeCell ref="D5:E5"/>
    <mergeCell ref="F5:G5"/>
    <mergeCell ref="H5:I5"/>
    <mergeCell ref="P5:R5"/>
    <mergeCell ref="C2:D2"/>
    <mergeCell ref="E2:G2"/>
    <mergeCell ref="I2:J2"/>
    <mergeCell ref="C3:E3"/>
    <mergeCell ref="F3:G3"/>
    <mergeCell ref="I3:J3"/>
  </mergeCells>
  <conditionalFormatting sqref="H7:I18 H20:I30">
    <cfRule type="cellIs" dxfId="5" priority="6" stopIfTrue="1" operator="greaterThan">
      <formula>0</formula>
    </cfRule>
  </conditionalFormatting>
  <conditionalFormatting sqref="J30">
    <cfRule type="cellIs" dxfId="4" priority="5" operator="lessThan">
      <formula>0</formula>
    </cfRule>
  </conditionalFormatting>
  <conditionalFormatting sqref="H31:I42">
    <cfRule type="cellIs" dxfId="3" priority="4" stopIfTrue="1" operator="greaterThan">
      <formula>0</formula>
    </cfRule>
  </conditionalFormatting>
  <conditionalFormatting sqref="J42">
    <cfRule type="cellIs" dxfId="2" priority="3" operator="lessThan">
      <formula>0</formula>
    </cfRule>
  </conditionalFormatting>
  <conditionalFormatting sqref="J18">
    <cfRule type="cellIs" dxfId="1" priority="2" operator="lessThan">
      <formula>0</formula>
    </cfRule>
  </conditionalFormatting>
  <conditionalFormatting sqref="H19:I19">
    <cfRule type="cellIs" dxfId="0" priority="1" stopIfTrue="1" operator="greaterThan">
      <formula>0</formula>
    </cfRule>
  </conditionalFormatting>
  <dataValidations count="1">
    <dataValidation type="list" allowBlank="1" showInputMessage="1" showErrorMessage="1" sqref="U7 U31 S7:S42">
      <formula1>Oui_Non</formula1>
    </dataValidation>
  </dataValidations>
  <pageMargins left="0.7" right="0.7" top="0.75" bottom="0.75" header="0.51180555555555551" footer="0.51180555555555551"/>
  <pageSetup paperSize="9" firstPageNumber="0" orientation="portrait" horizontalDpi="300" verticalDpi="300"/>
  <headerFooter alignWithMargins="0"/>
  <legacyDrawing r:id="rId1"/>
</worksheet>
</file>

<file path=docProps/app.xml><?xml version="1.0" encoding="utf-8"?>
<Properties xmlns="http://schemas.openxmlformats.org/officeDocument/2006/extended-properties" xmlns:vt="http://schemas.openxmlformats.org/officeDocument/2006/docPropsVTypes">
  <TotalTime>7</TotalTime>
  <Application>Microsoft Excel</Application>
  <DocSecurity>0</DocSecurity>
  <ScaleCrop>false</ScaleCrop>
  <HeadingPairs>
    <vt:vector size="4" baseType="variant">
      <vt:variant>
        <vt:lpstr>Feuilles de calcul</vt:lpstr>
      </vt:variant>
      <vt:variant>
        <vt:i4>46</vt:i4>
      </vt:variant>
      <vt:variant>
        <vt:lpstr>Plages nommées</vt:lpstr>
      </vt:variant>
      <vt:variant>
        <vt:i4>399</vt:i4>
      </vt:variant>
    </vt:vector>
  </HeadingPairs>
  <TitlesOfParts>
    <vt:vector size="445" baseType="lpstr">
      <vt:lpstr>Accueil</vt:lpstr>
      <vt:lpstr>en cours</vt:lpstr>
      <vt:lpstr>Baratin</vt:lpstr>
      <vt:lpstr>MOP</vt:lpstr>
      <vt:lpstr>Xref</vt:lpstr>
      <vt:lpstr>parm</vt:lpstr>
      <vt:lpstr>Proprietaire</vt:lpstr>
      <vt:lpstr>Logement_charges</vt:lpstr>
      <vt:lpstr>Contacts</vt:lpstr>
      <vt:lpstr>Carnet</vt:lpstr>
      <vt:lpstr>Logement</vt:lpstr>
      <vt:lpstr>Locataires</vt:lpstr>
      <vt:lpstr>fiche Proprietaire</vt:lpstr>
      <vt:lpstr>fiche Proprio_indice</vt:lpstr>
      <vt:lpstr>fiche Locataire</vt:lpstr>
      <vt:lpstr>fiche Logement</vt:lpstr>
      <vt:lpstr>Old_fiche signalitique</vt:lpstr>
      <vt:lpstr>fiche Quittance</vt:lpstr>
      <vt:lpstr>fiche Charges</vt:lpstr>
      <vt:lpstr>fiche Solde tout compte</vt:lpstr>
      <vt:lpstr>indices</vt:lpstr>
      <vt:lpstr>main courante</vt:lpstr>
      <vt:lpstr>Old_recap</vt:lpstr>
      <vt:lpstr>recap_L1</vt:lpstr>
      <vt:lpstr>recap_L2</vt:lpstr>
      <vt:lpstr>recap_L3</vt:lpstr>
      <vt:lpstr>recap_L4</vt:lpstr>
      <vt:lpstr>recap_L5</vt:lpstr>
      <vt:lpstr>Old_Mois</vt:lpstr>
      <vt:lpstr>Old_Janv</vt:lpstr>
      <vt:lpstr>Old_Fev</vt:lpstr>
      <vt:lpstr>Old_Mars</vt:lpstr>
      <vt:lpstr>Old_Avril</vt:lpstr>
      <vt:lpstr>old_Mai</vt:lpstr>
      <vt:lpstr>old_Juin</vt:lpstr>
      <vt:lpstr>Old_Juillet</vt:lpstr>
      <vt:lpstr>Old_Aout</vt:lpstr>
      <vt:lpstr>Old_Sept</vt:lpstr>
      <vt:lpstr>Old_Oct</vt:lpstr>
      <vt:lpstr>Old_Nov</vt:lpstr>
      <vt:lpstr>Old_Dec</vt:lpstr>
      <vt:lpstr>Solde</vt:lpstr>
      <vt:lpstr>Attestation_L1</vt:lpstr>
      <vt:lpstr>recap_L1 (2)</vt:lpstr>
      <vt:lpstr>recap_L2 (2)</vt:lpstr>
      <vt:lpstr>recap_L3 (2)</vt:lpstr>
      <vt:lpstr>accueil_fiche</vt:lpstr>
      <vt:lpstr>Apld_01</vt:lpstr>
      <vt:lpstr>Apld_02</vt:lpstr>
      <vt:lpstr>Apld_03</vt:lpstr>
      <vt:lpstr>Apld_04</vt:lpstr>
      <vt:lpstr>Apld_05</vt:lpstr>
      <vt:lpstr>Apld_06</vt:lpstr>
      <vt:lpstr>Apld_07</vt:lpstr>
      <vt:lpstr>Apld_08</vt:lpstr>
      <vt:lpstr>Apld_09</vt:lpstr>
      <vt:lpstr>Apld_10</vt:lpstr>
      <vt:lpstr>Apld_11</vt:lpstr>
      <vt:lpstr>Apld_12</vt:lpstr>
      <vt:lpstr>Aplm_01</vt:lpstr>
      <vt:lpstr>Aplm_02</vt:lpstr>
      <vt:lpstr>Aplm_03</vt:lpstr>
      <vt:lpstr>Aplm_04</vt:lpstr>
      <vt:lpstr>Aplm_05</vt:lpstr>
      <vt:lpstr>Aplm_06</vt:lpstr>
      <vt:lpstr>Aplm_07</vt:lpstr>
      <vt:lpstr>Aplm_08</vt:lpstr>
      <vt:lpstr>Aplm_09</vt:lpstr>
      <vt:lpstr>Aplm_10</vt:lpstr>
      <vt:lpstr>Aplm_11</vt:lpstr>
      <vt:lpstr>Aplm_12</vt:lpstr>
      <vt:lpstr>Logement_charges!appt_1</vt:lpstr>
      <vt:lpstr>appt_1</vt:lpstr>
      <vt:lpstr>Logement_charges!appt_2</vt:lpstr>
      <vt:lpstr>appt_2</vt:lpstr>
      <vt:lpstr>Logement_charges!appt_3</vt:lpstr>
      <vt:lpstr>appt_3</vt:lpstr>
      <vt:lpstr>Logement_charges!appt_4</vt:lpstr>
      <vt:lpstr>appt_4</vt:lpstr>
      <vt:lpstr>Logement_charges!appt_5</vt:lpstr>
      <vt:lpstr>appt_5</vt:lpstr>
      <vt:lpstr>appt_charg_1</vt:lpstr>
      <vt:lpstr>Logement_charges!appt_charg_2</vt:lpstr>
      <vt:lpstr>appt_charg_2</vt:lpstr>
      <vt:lpstr>Logement_charges!appt_charg_3</vt:lpstr>
      <vt:lpstr>appt_charg_3</vt:lpstr>
      <vt:lpstr>Logement_charges!appt_charg_4</vt:lpstr>
      <vt:lpstr>appt_charg_4</vt:lpstr>
      <vt:lpstr>Logement_charges!appt_charg_5</vt:lpstr>
      <vt:lpstr>appt_charg_5</vt:lpstr>
      <vt:lpstr>appt_loy_1</vt:lpstr>
      <vt:lpstr>Logement_charges!appt_loy_2</vt:lpstr>
      <vt:lpstr>appt_loy_2</vt:lpstr>
      <vt:lpstr>Logement_charges!appt_loy_3</vt:lpstr>
      <vt:lpstr>appt_loy_3</vt:lpstr>
      <vt:lpstr>Logement_charges!appt_loy_4</vt:lpstr>
      <vt:lpstr>appt_loy_4</vt:lpstr>
      <vt:lpstr>Logement_charges!appt_loy_5</vt:lpstr>
      <vt:lpstr>appt_loy_5</vt:lpstr>
      <vt:lpstr>Arch_sel</vt:lpstr>
      <vt:lpstr>Logement_charges!archive_cod_logement</vt:lpstr>
      <vt:lpstr>archive_cod_logement</vt:lpstr>
      <vt:lpstr>Char_01</vt:lpstr>
      <vt:lpstr>Char_02</vt:lpstr>
      <vt:lpstr>Char_03</vt:lpstr>
      <vt:lpstr>Char_04</vt:lpstr>
      <vt:lpstr>Char_05</vt:lpstr>
      <vt:lpstr>Char_06</vt:lpstr>
      <vt:lpstr>Char_07</vt:lpstr>
      <vt:lpstr>Char_08</vt:lpstr>
      <vt:lpstr>Char_09</vt:lpstr>
      <vt:lpstr>Char_10</vt:lpstr>
      <vt:lpstr>Char_11</vt:lpstr>
      <vt:lpstr>Char_12</vt:lpstr>
      <vt:lpstr>choix_appartement</vt:lpstr>
      <vt:lpstr>cod_bien</vt:lpstr>
      <vt:lpstr>cod_logement</vt:lpstr>
      <vt:lpstr>cod_version</vt:lpstr>
      <vt:lpstr>code_appart</vt:lpstr>
      <vt:lpstr>F_Loc_Apl_doss</vt:lpstr>
      <vt:lpstr>F_Loc_Apl_Maj</vt:lpstr>
      <vt:lpstr>F_Loc_Apl_Mode</vt:lpstr>
      <vt:lpstr>F_Loc_Apl_Mt</vt:lpstr>
      <vt:lpstr>F_Loc_APL_O_N</vt:lpstr>
      <vt:lpstr>F_Loc_Assurance</vt:lpstr>
      <vt:lpstr>F_Loc_Attest</vt:lpstr>
      <vt:lpstr>F_Loc_Cable</vt:lpstr>
      <vt:lpstr>F_Loc_Caf</vt:lpstr>
      <vt:lpstr>F_Loc_caution</vt:lpstr>
      <vt:lpstr>F_Loc_Caution_naiss1</vt:lpstr>
      <vt:lpstr>F_Loc_Caution_naiss1_lib</vt:lpstr>
      <vt:lpstr>F_Loc_Caution_Naiss2</vt:lpstr>
      <vt:lpstr>F_Loc_Caution_naiss2_lib</vt:lpstr>
      <vt:lpstr>F_Loc_Caution_Nom1</vt:lpstr>
      <vt:lpstr>F_Loc_Caution_Nom1_lib</vt:lpstr>
      <vt:lpstr>F_Loc_Caution_Nom2</vt:lpstr>
      <vt:lpstr>F_Loc_Caution_Nom2_lib</vt:lpstr>
      <vt:lpstr>F_Loc_Caution_parent1</vt:lpstr>
      <vt:lpstr>F_Loc_Caution_parent1_lib</vt:lpstr>
      <vt:lpstr>F_Loc_Caution_parent2</vt:lpstr>
      <vt:lpstr>F_Loc_Caution_parent2_lib</vt:lpstr>
      <vt:lpstr>F_Loc_Charges</vt:lpstr>
      <vt:lpstr>F_Loc_Dat_ent</vt:lpstr>
      <vt:lpstr>F_Loc_Dat_sort</vt:lpstr>
      <vt:lpstr>F_Loc_Date_Naiss</vt:lpstr>
      <vt:lpstr>F_Loc_Date_Naiss2</vt:lpstr>
      <vt:lpstr>F_Loc_depot</vt:lpstr>
      <vt:lpstr>F_Loc_depot_mode</vt:lpstr>
      <vt:lpstr>F_Loc_Eau_E_Chaud</vt:lpstr>
      <vt:lpstr>F_Loc_Eau_E_Froid</vt:lpstr>
      <vt:lpstr>F_Loc_Eau_S_Chaud</vt:lpstr>
      <vt:lpstr>F_Loc_Eau_S_Froid</vt:lpstr>
      <vt:lpstr>F_Loc_Edf_E_HC</vt:lpstr>
      <vt:lpstr>F_Loc_Edf_E_HC_Lib</vt:lpstr>
      <vt:lpstr>F_Loc_Edf_E_HP</vt:lpstr>
      <vt:lpstr>F_Loc_Edf_S_HC</vt:lpstr>
      <vt:lpstr>F_Loc_Edf_S_HC_Lib</vt:lpstr>
      <vt:lpstr>F_Loc_Edf_S_HP</vt:lpstr>
      <vt:lpstr>F_Loc_Fsl_doss</vt:lpstr>
      <vt:lpstr>F_Loc_Gaz</vt:lpstr>
      <vt:lpstr>F_Loc_LIBDate_Naiss2</vt:lpstr>
      <vt:lpstr>F_Loc_LIBNationnalite</vt:lpstr>
      <vt:lpstr>F_Loc_Lieu_Naiss</vt:lpstr>
      <vt:lpstr>F_Loc_Lieu_Naiss2</vt:lpstr>
      <vt:lpstr>F_Loc_Logement</vt:lpstr>
      <vt:lpstr>F_Loc_Loyer</vt:lpstr>
      <vt:lpstr>F_Loc_mail</vt:lpstr>
      <vt:lpstr>F_Loc_mail2</vt:lpstr>
      <vt:lpstr>F_Loc_Nationnalite</vt:lpstr>
      <vt:lpstr>F_Loc_Nom</vt:lpstr>
      <vt:lpstr>F_Loc_Nom2</vt:lpstr>
      <vt:lpstr>F_Loc_Num</vt:lpstr>
      <vt:lpstr>F_Loc_paiement</vt:lpstr>
      <vt:lpstr>F_Loc_Ptt</vt:lpstr>
      <vt:lpstr>F_Loc_Quitt_Envoi</vt:lpstr>
      <vt:lpstr>F_Loc_Quitt_Paiement</vt:lpstr>
      <vt:lpstr>F_Loc_Tfixe</vt:lpstr>
      <vt:lpstr>F_Loc_Tfixe2</vt:lpstr>
      <vt:lpstr>F_Loc_Tport</vt:lpstr>
      <vt:lpstr>F_Loc_Tport2</vt:lpstr>
      <vt:lpstr>F_Locataire_Ret_date</vt:lpstr>
      <vt:lpstr>F_Locataire_Ret_Mode</vt:lpstr>
      <vt:lpstr>F_Locataire_Retenue</vt:lpstr>
      <vt:lpstr>F_log_adr</vt:lpstr>
      <vt:lpstr>F_log_an</vt:lpstr>
      <vt:lpstr>F_log_ascenseur</vt:lpstr>
      <vt:lpstr>F_log_assu_comp</vt:lpstr>
      <vt:lpstr>F_Log_assu_contrat</vt:lpstr>
      <vt:lpstr>F_log_assu_nom</vt:lpstr>
      <vt:lpstr>F_log_assurance</vt:lpstr>
      <vt:lpstr>F_log_assurance_client</vt:lpstr>
      <vt:lpstr>F_log_assurance_num</vt:lpstr>
      <vt:lpstr>F_log_cable</vt:lpstr>
      <vt:lpstr>F_log_cave</vt:lpstr>
      <vt:lpstr>F_log_cave_num</vt:lpstr>
      <vt:lpstr>F_log_cave_numL</vt:lpstr>
      <vt:lpstr>F_Log_charge_asc</vt:lpstr>
      <vt:lpstr>F_Log_charge_chauffe</vt:lpstr>
      <vt:lpstr>F_Log_charge_EC</vt:lpstr>
      <vt:lpstr>F_Log_charge_EF</vt:lpstr>
      <vt:lpstr>F_Log_charge_ordure</vt:lpstr>
      <vt:lpstr>F_log_charges</vt:lpstr>
      <vt:lpstr>F_log_chemine</vt:lpstr>
      <vt:lpstr>F_log_chemine_d</vt:lpstr>
      <vt:lpstr>F_log_coloc</vt:lpstr>
      <vt:lpstr>F_log_coloc_mail</vt:lpstr>
      <vt:lpstr>F_log_coloc_nom</vt:lpstr>
      <vt:lpstr>F_log_coloc_portable</vt:lpstr>
      <vt:lpstr>F_log_cp</vt:lpstr>
      <vt:lpstr>F_log_date_achat</vt:lpstr>
      <vt:lpstr>F_log_date_cons</vt:lpstr>
      <vt:lpstr>F_log_eau</vt:lpstr>
      <vt:lpstr>F_log_edf</vt:lpstr>
      <vt:lpstr>F_log_edf_type</vt:lpstr>
      <vt:lpstr>F_log_etage</vt:lpstr>
      <vt:lpstr>F_log_garage</vt:lpstr>
      <vt:lpstr>F_log_garvelo</vt:lpstr>
      <vt:lpstr>F_log_gaz</vt:lpstr>
      <vt:lpstr>F_log_interphone</vt:lpstr>
      <vt:lpstr>F_log_interphone_num</vt:lpstr>
      <vt:lpstr>F_log_interphone_numL</vt:lpstr>
      <vt:lpstr>F_log_loc_apl</vt:lpstr>
      <vt:lpstr>F_log_loc_apl_paie</vt:lpstr>
      <vt:lpstr>F_log_loc_caution</vt:lpstr>
      <vt:lpstr>F_log_loc_entree</vt:lpstr>
      <vt:lpstr>F_log_loc_etat</vt:lpstr>
      <vt:lpstr>F_log_loc_mail</vt:lpstr>
      <vt:lpstr>F_log_loc_nom</vt:lpstr>
      <vt:lpstr>F_log_loc_portable</vt:lpstr>
      <vt:lpstr>F_log_loc_tel</vt:lpstr>
      <vt:lpstr>F_log_loyer_année</vt:lpstr>
      <vt:lpstr>F_log_loyer_charge</vt:lpstr>
      <vt:lpstr>F_log_loyer_HC</vt:lpstr>
      <vt:lpstr>F_log_loyer_indice</vt:lpstr>
      <vt:lpstr>F_log_loyer_irl</vt:lpstr>
      <vt:lpstr>F_log_loyer_ref</vt:lpstr>
      <vt:lpstr>F_log_loyer_revise</vt:lpstr>
      <vt:lpstr>F_log_loyer_total</vt:lpstr>
      <vt:lpstr>F_log_loyer_trim</vt:lpstr>
      <vt:lpstr>F_log_meuble</vt:lpstr>
      <vt:lpstr>F_log_Nbpieces</vt:lpstr>
      <vt:lpstr>F_log_nom</vt:lpstr>
      <vt:lpstr>F_log_num</vt:lpstr>
      <vt:lpstr>F_log_numappart</vt:lpstr>
      <vt:lpstr>F_Log_ordure</vt:lpstr>
      <vt:lpstr>F_log_parking</vt:lpstr>
      <vt:lpstr>F_log_prix_achat</vt:lpstr>
      <vt:lpstr>F_log_ptt</vt:lpstr>
      <vt:lpstr>F_log_superficie</vt:lpstr>
      <vt:lpstr>F_log_syndic</vt:lpstr>
      <vt:lpstr>F_log_syndic_adr</vt:lpstr>
      <vt:lpstr>F_log_syndic_fax</vt:lpstr>
      <vt:lpstr>F_log_syndic_gest</vt:lpstr>
      <vt:lpstr>F_log_syndic_mail</vt:lpstr>
      <vt:lpstr>F_log_syndic_portable</vt:lpstr>
      <vt:lpstr>F_log_syndic_tel</vt:lpstr>
      <vt:lpstr>F_Log_TF</vt:lpstr>
      <vt:lpstr>F_log_TH</vt:lpstr>
      <vt:lpstr>F_log_vigik</vt:lpstr>
      <vt:lpstr>F_Logement_Num</vt:lpstr>
      <vt:lpstr>'fiche Charges'!F_prop_adr</vt:lpstr>
      <vt:lpstr>'fiche Proprio_indice'!F_prop_adr</vt:lpstr>
      <vt:lpstr>F_prop_adr</vt:lpstr>
      <vt:lpstr>F_prop_caf</vt:lpstr>
      <vt:lpstr>F_prop_caf_id1</vt:lpstr>
      <vt:lpstr>F_prop_caf_id2</vt:lpstr>
      <vt:lpstr>F_prop_caf_pwd</vt:lpstr>
      <vt:lpstr>'fiche Charges'!F_prop_date</vt:lpstr>
      <vt:lpstr>'fiche Proprio_indice'!F_prop_date</vt:lpstr>
      <vt:lpstr>F_prop_date</vt:lpstr>
      <vt:lpstr>'fiche Charges'!F_prop_fixe</vt:lpstr>
      <vt:lpstr>'fiche Proprio_indice'!F_prop_fixe</vt:lpstr>
      <vt:lpstr>F_prop_fixe</vt:lpstr>
      <vt:lpstr>'fiche Charges'!F_prop_loc1</vt:lpstr>
      <vt:lpstr>'fiche Proprio_indice'!F_prop_loc1</vt:lpstr>
      <vt:lpstr>F_prop_loc1</vt:lpstr>
      <vt:lpstr>'fiche Charges'!F_prop_loc2</vt:lpstr>
      <vt:lpstr>'fiche Proprio_indice'!F_prop_loc2</vt:lpstr>
      <vt:lpstr>F_prop_loc2</vt:lpstr>
      <vt:lpstr>'fiche Charges'!F_prop_loc3</vt:lpstr>
      <vt:lpstr>'fiche Proprio_indice'!F_prop_loc3</vt:lpstr>
      <vt:lpstr>F_prop_loc3</vt:lpstr>
      <vt:lpstr>'fiche Charges'!F_prop_loc4</vt:lpstr>
      <vt:lpstr>'fiche Proprio_indice'!F_prop_loc4</vt:lpstr>
      <vt:lpstr>F_prop_loc4</vt:lpstr>
      <vt:lpstr>'fiche Charges'!F_prop_loc5</vt:lpstr>
      <vt:lpstr>'fiche Proprio_indice'!F_prop_loc5</vt:lpstr>
      <vt:lpstr>F_prop_loc5</vt:lpstr>
      <vt:lpstr>'fiche Charges'!F_prop_mail</vt:lpstr>
      <vt:lpstr>'fiche Proprio_indice'!F_prop_mail</vt:lpstr>
      <vt:lpstr>F_prop_mail</vt:lpstr>
      <vt:lpstr>'fiche Charges'!F_prop_nom</vt:lpstr>
      <vt:lpstr>'fiche Proprio_indice'!F_prop_nom</vt:lpstr>
      <vt:lpstr>F_prop_nom</vt:lpstr>
      <vt:lpstr>'fiche Solde tout compte'!F_quitt_charges</vt:lpstr>
      <vt:lpstr>F_quitt_charges</vt:lpstr>
      <vt:lpstr>'fiche Solde tout compte'!F_quitt_date</vt:lpstr>
      <vt:lpstr>F_quitt_date</vt:lpstr>
      <vt:lpstr>'fiche Solde tout compte'!F_quitt_locataire</vt:lpstr>
      <vt:lpstr>F_quitt_locataire</vt:lpstr>
      <vt:lpstr>'fiche Solde tout compte'!F_quitt_log_adr</vt:lpstr>
      <vt:lpstr>F_quitt_log_adr</vt:lpstr>
      <vt:lpstr>'fiche Solde tout compte'!F_quitt_log_adr1</vt:lpstr>
      <vt:lpstr>F_quitt_log_adr1</vt:lpstr>
      <vt:lpstr>'fiche Solde tout compte'!F_quitt_logement</vt:lpstr>
      <vt:lpstr>F_quitt_logement</vt:lpstr>
      <vt:lpstr>'fiche Solde tout compte'!F_quitt_loyer</vt:lpstr>
      <vt:lpstr>F_quitt_loyer</vt:lpstr>
      <vt:lpstr>'fiche Solde tout compte'!F_quitt_mois</vt:lpstr>
      <vt:lpstr>F_quitt_mois</vt:lpstr>
      <vt:lpstr>F_quitt_nom_coloc</vt:lpstr>
      <vt:lpstr>F_quitt_nom_loc</vt:lpstr>
      <vt:lpstr>'fiche Solde tout compte'!F_quitt_pai_apl</vt:lpstr>
      <vt:lpstr>F_quitt_pai_apl</vt:lpstr>
      <vt:lpstr>'fiche Solde tout compte'!F_quitt_pai_apld</vt:lpstr>
      <vt:lpstr>F_quitt_pai_apld</vt:lpstr>
      <vt:lpstr>F_quitt_pai_coloc</vt:lpstr>
      <vt:lpstr>F_quitt_pai_coloc_date</vt:lpstr>
      <vt:lpstr>'fiche Solde tout compte'!F_quitt_pai_loc</vt:lpstr>
      <vt:lpstr>F_quitt_pai_loc</vt:lpstr>
      <vt:lpstr>'fiche Solde tout compte'!F_quitt_pai_loc_date</vt:lpstr>
      <vt:lpstr>F_quitt_pai_loc_date</vt:lpstr>
      <vt:lpstr>F_quitt_remarques</vt:lpstr>
      <vt:lpstr>'fiche Solde tout compte'!F_quitt_remise</vt:lpstr>
      <vt:lpstr>F_quitt_remise</vt:lpstr>
      <vt:lpstr>Ind1_connu</vt:lpstr>
      <vt:lpstr>Ind2_connu</vt:lpstr>
      <vt:lpstr>Ind3_connu</vt:lpstr>
      <vt:lpstr>Ind4_connu</vt:lpstr>
      <vt:lpstr>indic_trim</vt:lpstr>
      <vt:lpstr>Logement_charges!Liste_appart</vt:lpstr>
      <vt:lpstr>Liste_appart</vt:lpstr>
      <vt:lpstr>Liste_archives</vt:lpstr>
      <vt:lpstr>Loc_01</vt:lpstr>
      <vt:lpstr>Loc_02</vt:lpstr>
      <vt:lpstr>Loc_03</vt:lpstr>
      <vt:lpstr>Loc_04</vt:lpstr>
      <vt:lpstr>Loc_05</vt:lpstr>
      <vt:lpstr>Loc_06</vt:lpstr>
      <vt:lpstr>Loc_07</vt:lpstr>
      <vt:lpstr>Loc_08</vt:lpstr>
      <vt:lpstr>Loc_09</vt:lpstr>
      <vt:lpstr>Loc_10</vt:lpstr>
      <vt:lpstr>Loc_11</vt:lpstr>
      <vt:lpstr>Loc_12</vt:lpstr>
      <vt:lpstr>Loc_actuel</vt:lpstr>
      <vt:lpstr>Loc_histo</vt:lpstr>
      <vt:lpstr>Locataires</vt:lpstr>
      <vt:lpstr>Log_adr</vt:lpstr>
      <vt:lpstr>Log_cp</vt:lpstr>
      <vt:lpstr>Log_nom</vt:lpstr>
      <vt:lpstr>Log_proprio</vt:lpstr>
      <vt:lpstr>logadr</vt:lpstr>
      <vt:lpstr>loy_01</vt:lpstr>
      <vt:lpstr>Loy_02</vt:lpstr>
      <vt:lpstr>Loy_03</vt:lpstr>
      <vt:lpstr>Loy_04</vt:lpstr>
      <vt:lpstr>Loy_05</vt:lpstr>
      <vt:lpstr>Loy_06</vt:lpstr>
      <vt:lpstr>loy_07</vt:lpstr>
      <vt:lpstr>Loy_08</vt:lpstr>
      <vt:lpstr>Loy_09</vt:lpstr>
      <vt:lpstr>Loy_10</vt:lpstr>
      <vt:lpstr>Loy_11</vt:lpstr>
      <vt:lpstr>Loy_12</vt:lpstr>
      <vt:lpstr>mel_01</vt:lpstr>
      <vt:lpstr>mel_02</vt:lpstr>
      <vt:lpstr>mel_03</vt:lpstr>
      <vt:lpstr>mel_04</vt:lpstr>
      <vt:lpstr>mel_05</vt:lpstr>
      <vt:lpstr>mel_06</vt:lpstr>
      <vt:lpstr>mel_07</vt:lpstr>
      <vt:lpstr>mel_08</vt:lpstr>
      <vt:lpstr>mel_09</vt:lpstr>
      <vt:lpstr>mel_10</vt:lpstr>
      <vt:lpstr>mel_11</vt:lpstr>
      <vt:lpstr>mel_12</vt:lpstr>
      <vt:lpstr>mel_rel_01</vt:lpstr>
      <vt:lpstr>mel_rel_02</vt:lpstr>
      <vt:lpstr>mel_rel_03</vt:lpstr>
      <vt:lpstr>mel_rel_04</vt:lpstr>
      <vt:lpstr>mel_rel_05</vt:lpstr>
      <vt:lpstr>mel_rel_06</vt:lpstr>
      <vt:lpstr>mel_rel_07</vt:lpstr>
      <vt:lpstr>mel_rel_08</vt:lpstr>
      <vt:lpstr>mel_rel_09</vt:lpstr>
      <vt:lpstr>mel_rel_10</vt:lpstr>
      <vt:lpstr>mel_rel_11</vt:lpstr>
      <vt:lpstr>mel_rel_12</vt:lpstr>
      <vt:lpstr>moisq_adresse</vt:lpstr>
      <vt:lpstr>moisq_cp</vt:lpstr>
      <vt:lpstr>moisq_locataire</vt:lpstr>
      <vt:lpstr>moisq_logement</vt:lpstr>
      <vt:lpstr>moisq_mois</vt:lpstr>
      <vt:lpstr>Oui_Non</vt:lpstr>
      <vt:lpstr>prop_adr</vt:lpstr>
      <vt:lpstr>prop_adr1</vt:lpstr>
      <vt:lpstr>prop_caf</vt:lpstr>
      <vt:lpstr>prop_caf_id1</vt:lpstr>
      <vt:lpstr>prop_caf_id2</vt:lpstr>
      <vt:lpstr>prop_caf_pwd</vt:lpstr>
      <vt:lpstr>prop_cp</vt:lpstr>
      <vt:lpstr>prop_mail</vt:lpstr>
      <vt:lpstr>Logement_charges!prop_mail_lib</vt:lpstr>
      <vt:lpstr>prop_mail_lib</vt:lpstr>
      <vt:lpstr>prop_nom</vt:lpstr>
      <vt:lpstr>prop_portable</vt:lpstr>
      <vt:lpstr>Logement_charges!prop_portable_lib</vt:lpstr>
      <vt:lpstr>prop_portable_lib</vt:lpstr>
      <vt:lpstr>prop_tel</vt:lpstr>
      <vt:lpstr>prop_ville</vt:lpstr>
      <vt:lpstr>quitt_01</vt:lpstr>
      <vt:lpstr>quitt_02</vt:lpstr>
      <vt:lpstr>quitt_03</vt:lpstr>
      <vt:lpstr>quitt_04</vt:lpstr>
      <vt:lpstr>quitt_05</vt:lpstr>
      <vt:lpstr>quitt_06</vt:lpstr>
      <vt:lpstr>quitt_07</vt:lpstr>
      <vt:lpstr>quitt_08</vt:lpstr>
      <vt:lpstr>quitt_09</vt:lpstr>
      <vt:lpstr>quitt_10</vt:lpstr>
      <vt:lpstr>quitt_11</vt:lpstr>
      <vt:lpstr>quitt_12</vt:lpstr>
      <vt:lpstr>sig_aout</vt:lpstr>
      <vt:lpstr>sig_avril</vt:lpstr>
      <vt:lpstr>sig_dec</vt:lpstr>
      <vt:lpstr>sig_fev</vt:lpstr>
      <vt:lpstr>sig_janv</vt:lpstr>
      <vt:lpstr>sig_juill</vt:lpstr>
      <vt:lpstr>sig_juin</vt:lpstr>
      <vt:lpstr>sig_mai</vt:lpstr>
      <vt:lpstr>sig_mars</vt:lpstr>
      <vt:lpstr>sig_nov</vt:lpstr>
      <vt:lpstr>sig_oct</vt:lpstr>
      <vt:lpstr>sig_sept</vt:lpstr>
      <vt:lpstr>Var_locat_no</vt:lpstr>
      <vt:lpstr>Var_locat_nom</vt:lpstr>
      <vt:lpstr>Var_locat_numlVar_locat_numl</vt:lpstr>
      <vt:lpstr>Var_log_charge</vt:lpstr>
      <vt:lpstr>Var_log_lib</vt:lpstr>
      <vt:lpstr>Var_log_loyer</vt:lpstr>
      <vt:lpstr>Var_log_no</vt:lpstr>
      <vt:lpstr>Var_log_numl</vt:lpstr>
      <vt:lpstr>Var_trace</vt:lpstr>
      <vt:lpstr>Var_trace_det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c:creator>
  <cp:lastModifiedBy>pap</cp:lastModifiedBy>
  <cp:revision>2</cp:revision>
  <cp:lastPrinted>2018-08-23T06:27:49Z</cp:lastPrinted>
  <dcterms:created xsi:type="dcterms:W3CDTF">2015-02-09T12:00:55Z</dcterms:created>
  <dcterms:modified xsi:type="dcterms:W3CDTF">2018-08-23T15:14:07Z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dr" linkTarget="prop_adr">
    <vt:lpwstr>6 rue des aules</vt:lpwstr>
  </property>
  <property fmtid="{D5CDD505-2E9C-101B-9397-08002B2CF9AE}" pid="3" name="cp" linkTarget="prop_cp">
    <vt:r8>75960</vt:r8>
  </property>
  <property fmtid="{D5CDD505-2E9C-101B-9397-08002B2CF9AE}" pid="4" name="mail" linkTarget="prop_mail">
    <vt:lpwstr>demo38@gmail.com</vt:lpwstr>
  </property>
  <property fmtid="{D5CDD505-2E9C-101B-9397-08002B2CF9AE}" pid="5" name="mail_lib" linkTarget="prop_mail_lib">
    <vt:lpwstr>Email :  </vt:lpwstr>
  </property>
  <property fmtid="{D5CDD505-2E9C-101B-9397-08002B2CF9AE}" pid="6" name="nom" linkTarget="prop_nom">
    <vt:lpwstr>Mr dubosq</vt:lpwstr>
  </property>
  <property fmtid="{D5CDD505-2E9C-101B-9397-08002B2CF9AE}" pid="7" name="portable" linkTarget="prop_portable">
    <vt:lpwstr>06 07 06 07 06</vt:lpwstr>
  </property>
  <property fmtid="{D5CDD505-2E9C-101B-9397-08002B2CF9AE}" pid="8" name="portable_lib" linkTarget="prop_portable_lib">
    <vt:lpwstr>Portable:  </vt:lpwstr>
  </property>
  <property fmtid="{D5CDD505-2E9C-101B-9397-08002B2CF9AE}" pid="9" name="tel" linkTarget="prop_tel">
    <vt:lpwstr>01 02 03 04 05</vt:lpwstr>
  </property>
  <property fmtid="{D5CDD505-2E9C-101B-9397-08002B2CF9AE}" pid="10" name="tel_lib" linkTarget="prop_tel_lib">
    <vt:lpwstr>#REF!</vt:lpwstr>
  </property>
  <property fmtid="{D5CDD505-2E9C-101B-9397-08002B2CF9AE}" pid="11" name="_NewReviewCycle">
    <vt:lpwstr/>
  </property>
  <property fmtid="{D5CDD505-2E9C-101B-9397-08002B2CF9AE}" pid="12" name="_AdHocReviewCycleID">
    <vt:i4>1028892211</vt:i4>
  </property>
  <property fmtid="{D5CDD505-2E9C-101B-9397-08002B2CF9AE}" pid="13" name="_EmailSubject">
    <vt:lpwstr>Gestion Parc</vt:lpwstr>
  </property>
  <property fmtid="{D5CDD505-2E9C-101B-9397-08002B2CF9AE}" pid="14" name="_AuthorEmail">
    <vt:lpwstr>Alain.CAILLAT@ca-ts.fr</vt:lpwstr>
  </property>
  <property fmtid="{D5CDD505-2E9C-101B-9397-08002B2CF9AE}" pid="15" name="_AuthorEmailDisplayName">
    <vt:lpwstr>CAILLAT Alain</vt:lpwstr>
  </property>
  <property fmtid="{D5CDD505-2E9C-101B-9397-08002B2CF9AE}" pid="16" name="_PreviousAdHocReviewCycleID">
    <vt:i4>-1378005295</vt:i4>
  </property>
  <property fmtid="{D5CDD505-2E9C-101B-9397-08002B2CF9AE}" pid="17" name="adr1" linkTarget="prop_adr1">
    <vt:lpwstr/>
  </property>
  <property fmtid="{D5CDD505-2E9C-101B-9397-08002B2CF9AE}" pid="18" name="ville" linkTarget="prop_ville">
    <vt:lpwstr>tataouine</vt:lpwstr>
  </property>
  <property fmtid="{D5CDD505-2E9C-101B-9397-08002B2CF9AE}" pid="19" name="_ReviewingToolsShownOnce">
    <vt:lpwstr/>
  </property>
  <property fmtid="{D5CDD505-2E9C-101B-9397-08002B2CF9AE}" pid="20" name="caf" linkTarget="prop_caf">
    <vt:lpwstr>qlweb-caf.fr</vt:lpwstr>
  </property>
  <property fmtid="{D5CDD505-2E9C-101B-9397-08002B2CF9AE}" pid="21" name="caf_id1" linkTarget="prop_caf_id1">
    <vt:r8>388</vt:r8>
  </property>
  <property fmtid="{D5CDD505-2E9C-101B-9397-08002B2CF9AE}" pid="22" name="caf_id2" linkTarget="prop_caf_id2">
    <vt:r8>2604530001</vt:r8>
  </property>
  <property fmtid="{D5CDD505-2E9C-101B-9397-08002B2CF9AE}" pid="23" name="caf_pwd" linkTarget="prop_caf_pwd">
    <vt:lpwstr>aljavaux38</vt:lpwstr>
  </property>
</Properties>
</file>